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C:\Users\markok\Desktop\"/>
    </mc:Choice>
  </mc:AlternateContent>
  <xr:revisionPtr revIDLastSave="0" documentId="13_ncr:1_{BF4C24DE-51CF-4978-8594-5897E5A8285E}" xr6:coauthVersionLast="36" xr6:coauthVersionMax="36" xr10:uidLastSave="{00000000-0000-0000-0000-000000000000}"/>
  <bookViews>
    <workbookView xWindow="360" yWindow="20" windowWidth="20960" windowHeight="9720" xr2:uid="{00000000-000D-0000-FFFF-FFFF00000000}"/>
  </bookViews>
  <sheets>
    <sheet name="OsebnaVozila" sheetId="1" r:id="rId1"/>
    <sheet name="Št. avtomobilov po  občinah" sheetId="2" state="hidden" r:id="rId2"/>
    <sheet name="Št. avtomobilov" sheetId="3" state="hidden" r:id="rId3"/>
    <sheet name="Št. prevoženih km" sheetId="4" state="hidden" r:id="rId4"/>
    <sheet name="Poraba energije" sheetId="5" state="hidden" r:id="rId5"/>
    <sheet name="Emisije CO2" sheetId="6" state="hidden" r:id="rId6"/>
  </sheets>
  <calcPr calcId="191029"/>
</workbook>
</file>

<file path=xl/calcChain.xml><?xml version="1.0" encoding="utf-8"?>
<calcChain xmlns="http://schemas.openxmlformats.org/spreadsheetml/2006/main">
  <c r="AC73" i="6" l="1"/>
  <c r="AA73" i="6"/>
  <c r="W73" i="6"/>
  <c r="V73" i="6"/>
  <c r="U73" i="6"/>
  <c r="T73" i="6"/>
  <c r="S73" i="6"/>
  <c r="R73" i="6"/>
  <c r="AC72" i="6"/>
  <c r="AA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C72" i="6"/>
  <c r="AC71" i="6"/>
  <c r="AA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AC70" i="6"/>
  <c r="AA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C70" i="6"/>
  <c r="AC69" i="6"/>
  <c r="AA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C69" i="6"/>
  <c r="AC68" i="6"/>
  <c r="AA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C68" i="6"/>
  <c r="AC67" i="6"/>
  <c r="AA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C67" i="6"/>
  <c r="Z66" i="6"/>
  <c r="Z67" i="6" s="1"/>
  <c r="C49" i="6"/>
  <c r="V48" i="6"/>
  <c r="R48" i="6"/>
  <c r="N48" i="6"/>
  <c r="J48" i="6"/>
  <c r="C48" i="6"/>
  <c r="W47" i="6"/>
  <c r="S47" i="6"/>
  <c r="O47" i="6"/>
  <c r="K47" i="6"/>
  <c r="V46" i="6"/>
  <c r="R46" i="6"/>
  <c r="N46" i="6"/>
  <c r="J46" i="6"/>
  <c r="W45" i="6"/>
  <c r="V45" i="6"/>
  <c r="S45" i="6"/>
  <c r="R45" i="6"/>
  <c r="O45" i="6"/>
  <c r="N45" i="6"/>
  <c r="K45" i="6"/>
  <c r="J45" i="6"/>
  <c r="C45" i="6"/>
  <c r="AB42" i="6"/>
  <c r="AB43" i="6" s="1"/>
  <c r="AB44" i="6" s="1"/>
  <c r="AB45" i="6" s="1"/>
  <c r="AB46" i="6" s="1"/>
  <c r="AB47" i="6" s="1"/>
  <c r="AB48" i="6" s="1"/>
  <c r="AB49" i="6" s="1"/>
  <c r="Z42" i="6"/>
  <c r="Z43" i="6" s="1"/>
  <c r="W38" i="6"/>
  <c r="W49" i="6" s="1"/>
  <c r="V38" i="6"/>
  <c r="V49" i="6" s="1"/>
  <c r="U38" i="6"/>
  <c r="U49" i="6" s="1"/>
  <c r="T38" i="6"/>
  <c r="T49" i="6" s="1"/>
  <c r="S38" i="6"/>
  <c r="S49" i="6" s="1"/>
  <c r="R38" i="6"/>
  <c r="R49" i="6" s="1"/>
  <c r="Q38" i="6"/>
  <c r="Q49" i="6" s="1"/>
  <c r="P38" i="6"/>
  <c r="P49" i="6" s="1"/>
  <c r="O38" i="6"/>
  <c r="O49" i="6" s="1"/>
  <c r="N38" i="6"/>
  <c r="N49" i="6" s="1"/>
  <c r="M38" i="6"/>
  <c r="M49" i="6" s="1"/>
  <c r="L38" i="6"/>
  <c r="L49" i="6" s="1"/>
  <c r="K38" i="6"/>
  <c r="K49" i="6" s="1"/>
  <c r="J38" i="6"/>
  <c r="J49" i="6" s="1"/>
  <c r="I38" i="6"/>
  <c r="I49" i="6" s="1"/>
  <c r="H38" i="6"/>
  <c r="H49" i="6" s="1"/>
  <c r="W37" i="6"/>
  <c r="W48" i="6" s="1"/>
  <c r="V37" i="6"/>
  <c r="U37" i="6"/>
  <c r="U48" i="6" s="1"/>
  <c r="T37" i="6"/>
  <c r="T48" i="6" s="1"/>
  <c r="S37" i="6"/>
  <c r="S48" i="6" s="1"/>
  <c r="R37" i="6"/>
  <c r="Q37" i="6"/>
  <c r="Q48" i="6" s="1"/>
  <c r="P37" i="6"/>
  <c r="P48" i="6" s="1"/>
  <c r="O37" i="6"/>
  <c r="O48" i="6" s="1"/>
  <c r="N37" i="6"/>
  <c r="M37" i="6"/>
  <c r="M48" i="6" s="1"/>
  <c r="L37" i="6"/>
  <c r="L48" i="6" s="1"/>
  <c r="K37" i="6"/>
  <c r="K48" i="6" s="1"/>
  <c r="J37" i="6"/>
  <c r="I37" i="6"/>
  <c r="I48" i="6" s="1"/>
  <c r="H37" i="6"/>
  <c r="H48" i="6" s="1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W35" i="6"/>
  <c r="V35" i="6"/>
  <c r="U35" i="6"/>
  <c r="U45" i="6" s="1"/>
  <c r="T35" i="6"/>
  <c r="T45" i="6" s="1"/>
  <c r="S35" i="6"/>
  <c r="R35" i="6"/>
  <c r="Q35" i="6"/>
  <c r="Q45" i="6" s="1"/>
  <c r="P35" i="6"/>
  <c r="P45" i="6" s="1"/>
  <c r="O35" i="6"/>
  <c r="N35" i="6"/>
  <c r="M35" i="6"/>
  <c r="M45" i="6" s="1"/>
  <c r="L35" i="6"/>
  <c r="L45" i="6" s="1"/>
  <c r="K35" i="6"/>
  <c r="J35" i="6"/>
  <c r="I35" i="6"/>
  <c r="I45" i="6" s="1"/>
  <c r="H35" i="6"/>
  <c r="H45" i="6" s="1"/>
  <c r="C35" i="6"/>
  <c r="W34" i="6"/>
  <c r="V34" i="6"/>
  <c r="V47" i="6" s="1"/>
  <c r="U34" i="6"/>
  <c r="T34" i="6"/>
  <c r="S34" i="6"/>
  <c r="R34" i="6"/>
  <c r="R47" i="6" s="1"/>
  <c r="Q34" i="6"/>
  <c r="P34" i="6"/>
  <c r="O34" i="6"/>
  <c r="N34" i="6"/>
  <c r="N47" i="6" s="1"/>
  <c r="M34" i="6"/>
  <c r="L34" i="6"/>
  <c r="K34" i="6"/>
  <c r="J34" i="6"/>
  <c r="J47" i="6" s="1"/>
  <c r="I34" i="6"/>
  <c r="W33" i="6"/>
  <c r="V33" i="6"/>
  <c r="U33" i="6"/>
  <c r="U46" i="6" s="1"/>
  <c r="T33" i="6"/>
  <c r="S33" i="6"/>
  <c r="R33" i="6"/>
  <c r="Q33" i="6"/>
  <c r="Q46" i="6" s="1"/>
  <c r="P33" i="6"/>
  <c r="O33" i="6"/>
  <c r="N33" i="6"/>
  <c r="M33" i="6"/>
  <c r="M46" i="6" s="1"/>
  <c r="L33" i="6"/>
  <c r="K33" i="6"/>
  <c r="J33" i="6"/>
  <c r="I33" i="6"/>
  <c r="I46" i="6" s="1"/>
  <c r="W32" i="6"/>
  <c r="W44" i="6" s="1"/>
  <c r="V32" i="6"/>
  <c r="V44" i="6" s="1"/>
  <c r="U32" i="6"/>
  <c r="U44" i="6" s="1"/>
  <c r="T32" i="6"/>
  <c r="T44" i="6" s="1"/>
  <c r="S32" i="6"/>
  <c r="S44" i="6" s="1"/>
  <c r="R32" i="6"/>
  <c r="R44" i="6" s="1"/>
  <c r="Q32" i="6"/>
  <c r="Q44" i="6" s="1"/>
  <c r="P32" i="6"/>
  <c r="P44" i="6" s="1"/>
  <c r="O32" i="6"/>
  <c r="O44" i="6" s="1"/>
  <c r="N32" i="6"/>
  <c r="N44" i="6" s="1"/>
  <c r="M32" i="6"/>
  <c r="M44" i="6" s="1"/>
  <c r="L32" i="6"/>
  <c r="L44" i="6" s="1"/>
  <c r="K32" i="6"/>
  <c r="K44" i="6" s="1"/>
  <c r="J32" i="6"/>
  <c r="J44" i="6" s="1"/>
  <c r="I32" i="6"/>
  <c r="I44" i="6" s="1"/>
  <c r="H32" i="6"/>
  <c r="H44" i="6" s="1"/>
  <c r="C32" i="6"/>
  <c r="C44" i="6" s="1"/>
  <c r="W31" i="6"/>
  <c r="V31" i="6"/>
  <c r="U31" i="6"/>
  <c r="U47" i="6" s="1"/>
  <c r="T31" i="6"/>
  <c r="T47" i="6" s="1"/>
  <c r="S31" i="6"/>
  <c r="R31" i="6"/>
  <c r="Q31" i="6"/>
  <c r="Q47" i="6" s="1"/>
  <c r="P31" i="6"/>
  <c r="P47" i="6" s="1"/>
  <c r="O31" i="6"/>
  <c r="N31" i="6"/>
  <c r="M31" i="6"/>
  <c r="M47" i="6" s="1"/>
  <c r="L31" i="6"/>
  <c r="L47" i="6" s="1"/>
  <c r="K31" i="6"/>
  <c r="J31" i="6"/>
  <c r="I31" i="6"/>
  <c r="I47" i="6" s="1"/>
  <c r="W30" i="6"/>
  <c r="V30" i="6"/>
  <c r="U30" i="6"/>
  <c r="T30" i="6"/>
  <c r="T39" i="6" s="1"/>
  <c r="S30" i="6"/>
  <c r="R30" i="6"/>
  <c r="Q30" i="6"/>
  <c r="P30" i="6"/>
  <c r="O30" i="6"/>
  <c r="N30" i="6"/>
  <c r="M30" i="6"/>
  <c r="L30" i="6"/>
  <c r="K30" i="6"/>
  <c r="K60" i="6" s="1"/>
  <c r="J30" i="6"/>
  <c r="I30" i="6"/>
  <c r="H30" i="6"/>
  <c r="C30" i="6"/>
  <c r="W29" i="6"/>
  <c r="W43" i="6" s="1"/>
  <c r="V29" i="6"/>
  <c r="V43" i="6" s="1"/>
  <c r="U29" i="6"/>
  <c r="T29" i="6"/>
  <c r="T43" i="6" s="1"/>
  <c r="S29" i="6"/>
  <c r="S43" i="6" s="1"/>
  <c r="R29" i="6"/>
  <c r="R43" i="6" s="1"/>
  <c r="Q29" i="6"/>
  <c r="P29" i="6"/>
  <c r="P43" i="6" s="1"/>
  <c r="O29" i="6"/>
  <c r="O43" i="6" s="1"/>
  <c r="N29" i="6"/>
  <c r="N43" i="6" s="1"/>
  <c r="M29" i="6"/>
  <c r="M39" i="6" s="1"/>
  <c r="L29" i="6"/>
  <c r="L43" i="6" s="1"/>
  <c r="K29" i="6"/>
  <c r="K43" i="6" s="1"/>
  <c r="J29" i="6"/>
  <c r="J43" i="6" s="1"/>
  <c r="I29" i="6"/>
  <c r="H29" i="6"/>
  <c r="H43" i="6" s="1"/>
  <c r="C29" i="6"/>
  <c r="C43" i="6" s="1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C12" i="6"/>
  <c r="AC73" i="5"/>
  <c r="AC72" i="5"/>
  <c r="C72" i="5"/>
  <c r="AC71" i="5"/>
  <c r="AC70" i="5"/>
  <c r="AC69" i="5"/>
  <c r="AC68" i="5"/>
  <c r="AC67" i="5"/>
  <c r="Z66" i="5"/>
  <c r="Q38" i="5"/>
  <c r="Q49" i="5" s="1"/>
  <c r="P38" i="5"/>
  <c r="P49" i="5" s="1"/>
  <c r="O38" i="5"/>
  <c r="O49" i="5" s="1"/>
  <c r="N38" i="5"/>
  <c r="N49" i="5" s="1"/>
  <c r="M38" i="5"/>
  <c r="M49" i="5" s="1"/>
  <c r="L38" i="5"/>
  <c r="L49" i="5" s="1"/>
  <c r="K38" i="5"/>
  <c r="K49" i="5" s="1"/>
  <c r="J38" i="5"/>
  <c r="J49" i="5" s="1"/>
  <c r="I38" i="5"/>
  <c r="I49" i="5" s="1"/>
  <c r="H38" i="5"/>
  <c r="H49" i="5" s="1"/>
  <c r="C38" i="5"/>
  <c r="C49" i="5" s="1"/>
  <c r="C37" i="5"/>
  <c r="C48" i="5" s="1"/>
  <c r="R36" i="5"/>
  <c r="J36" i="5"/>
  <c r="C36" i="5"/>
  <c r="H34" i="5"/>
  <c r="C34" i="5"/>
  <c r="V33" i="5"/>
  <c r="N33" i="5"/>
  <c r="H33" i="5"/>
  <c r="C33" i="5"/>
  <c r="S32" i="5"/>
  <c r="S44" i="5" s="1"/>
  <c r="K32" i="5"/>
  <c r="K44" i="5" s="1"/>
  <c r="V31" i="5"/>
  <c r="R31" i="5"/>
  <c r="N31" i="5"/>
  <c r="J31" i="5"/>
  <c r="H31" i="5"/>
  <c r="H47" i="5" s="1"/>
  <c r="C31" i="5"/>
  <c r="C47" i="5" s="1"/>
  <c r="W30" i="5"/>
  <c r="S30" i="5"/>
  <c r="O30" i="5"/>
  <c r="K30" i="5"/>
  <c r="C30" i="5"/>
  <c r="C46" i="5" s="1"/>
  <c r="T29" i="5"/>
  <c r="P29" i="5"/>
  <c r="L29" i="5"/>
  <c r="H29" i="5"/>
  <c r="W25" i="5"/>
  <c r="V25" i="5"/>
  <c r="U25" i="5"/>
  <c r="T25" i="5"/>
  <c r="S25" i="5"/>
  <c r="R25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W23" i="5"/>
  <c r="V23" i="5"/>
  <c r="V36" i="5" s="1"/>
  <c r="U23" i="5"/>
  <c r="T23" i="5"/>
  <c r="S23" i="5"/>
  <c r="R23" i="5"/>
  <c r="Q23" i="5"/>
  <c r="P23" i="5"/>
  <c r="O23" i="5"/>
  <c r="N23" i="5"/>
  <c r="N36" i="5" s="1"/>
  <c r="M23" i="5"/>
  <c r="L23" i="5"/>
  <c r="K23" i="5"/>
  <c r="J23" i="5"/>
  <c r="I23" i="5"/>
  <c r="H23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C22" i="5"/>
  <c r="W21" i="5"/>
  <c r="V21" i="5"/>
  <c r="U21" i="5"/>
  <c r="T21" i="5"/>
  <c r="T58" i="5" s="1"/>
  <c r="S21" i="5"/>
  <c r="R21" i="5"/>
  <c r="Q21" i="5"/>
  <c r="P21" i="5"/>
  <c r="P58" i="5" s="1"/>
  <c r="O21" i="5"/>
  <c r="N21" i="5"/>
  <c r="M21" i="5"/>
  <c r="L21" i="5"/>
  <c r="L58" i="5" s="1"/>
  <c r="K21" i="5"/>
  <c r="J21" i="5"/>
  <c r="I21" i="5"/>
  <c r="W20" i="5"/>
  <c r="V20" i="5"/>
  <c r="U20" i="5"/>
  <c r="T20" i="5"/>
  <c r="S20" i="5"/>
  <c r="R20" i="5"/>
  <c r="R33" i="5" s="1"/>
  <c r="Q20" i="5"/>
  <c r="Q33" i="5" s="1"/>
  <c r="P20" i="5"/>
  <c r="O20" i="5"/>
  <c r="N20" i="5"/>
  <c r="M20" i="5"/>
  <c r="L20" i="5"/>
  <c r="K20" i="5"/>
  <c r="J20" i="5"/>
  <c r="J33" i="5" s="1"/>
  <c r="I20" i="5"/>
  <c r="I33" i="5" s="1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C19" i="5"/>
  <c r="W18" i="5"/>
  <c r="V18" i="5"/>
  <c r="U18" i="5"/>
  <c r="T18" i="5"/>
  <c r="S18" i="5"/>
  <c r="S31" i="5" s="1"/>
  <c r="R18" i="5"/>
  <c r="Q18" i="5"/>
  <c r="P18" i="5"/>
  <c r="O18" i="5"/>
  <c r="N18" i="5"/>
  <c r="M18" i="5"/>
  <c r="L18" i="5"/>
  <c r="K18" i="5"/>
  <c r="K31" i="5" s="1"/>
  <c r="J18" i="5"/>
  <c r="I18" i="5"/>
  <c r="W17" i="5"/>
  <c r="V17" i="5"/>
  <c r="U17" i="5"/>
  <c r="U30" i="5" s="1"/>
  <c r="T17" i="5"/>
  <c r="T30" i="5" s="1"/>
  <c r="S17" i="5"/>
  <c r="R17" i="5"/>
  <c r="Q17" i="5"/>
  <c r="Q30" i="5" s="1"/>
  <c r="Q46" i="5" s="1"/>
  <c r="P17" i="5"/>
  <c r="P30" i="5" s="1"/>
  <c r="O17" i="5"/>
  <c r="N17" i="5"/>
  <c r="M17" i="5"/>
  <c r="M30" i="5" s="1"/>
  <c r="L17" i="5"/>
  <c r="L30" i="5" s="1"/>
  <c r="K17" i="5"/>
  <c r="J17" i="5"/>
  <c r="I17" i="5"/>
  <c r="I30" i="5" s="1"/>
  <c r="I46" i="5" s="1"/>
  <c r="H17" i="5"/>
  <c r="H30" i="5" s="1"/>
  <c r="H46" i="5" s="1"/>
  <c r="C17" i="5"/>
  <c r="W16" i="5"/>
  <c r="V16" i="5"/>
  <c r="V29" i="5" s="1"/>
  <c r="U16" i="5"/>
  <c r="U29" i="5" s="1"/>
  <c r="T16" i="5"/>
  <c r="S16" i="5"/>
  <c r="R16" i="5"/>
  <c r="R29" i="5" s="1"/>
  <c r="Q16" i="5"/>
  <c r="Q29" i="5" s="1"/>
  <c r="P16" i="5"/>
  <c r="O16" i="5"/>
  <c r="N16" i="5"/>
  <c r="N29" i="5" s="1"/>
  <c r="M16" i="5"/>
  <c r="M29" i="5" s="1"/>
  <c r="L16" i="5"/>
  <c r="K16" i="5"/>
  <c r="J16" i="5"/>
  <c r="J29" i="5" s="1"/>
  <c r="I16" i="5"/>
  <c r="I29" i="5" s="1"/>
  <c r="H16" i="5"/>
  <c r="C16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C12" i="5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C12" i="4"/>
  <c r="W32" i="3"/>
  <c r="V32" i="3"/>
  <c r="U32" i="3"/>
  <c r="T32" i="3"/>
  <c r="T29" i="3" s="1"/>
  <c r="S32" i="3"/>
  <c r="R32" i="3"/>
  <c r="Q32" i="3"/>
  <c r="P32" i="3"/>
  <c r="P29" i="3" s="1"/>
  <c r="O32" i="3"/>
  <c r="N32" i="3"/>
  <c r="M32" i="3"/>
  <c r="L32" i="3"/>
  <c r="L29" i="3" s="1"/>
  <c r="K32" i="3"/>
  <c r="J32" i="3"/>
  <c r="I32" i="3"/>
  <c r="H32" i="3"/>
  <c r="H29" i="3" s="1"/>
  <c r="C32" i="3"/>
  <c r="W31" i="3"/>
  <c r="V31" i="3"/>
  <c r="U31" i="3"/>
  <c r="S31" i="3"/>
  <c r="R31" i="3"/>
  <c r="Q31" i="3"/>
  <c r="O31" i="3"/>
  <c r="N31" i="3"/>
  <c r="M31" i="3"/>
  <c r="K31" i="3"/>
  <c r="J31" i="3"/>
  <c r="I31" i="3"/>
  <c r="C31" i="3"/>
  <c r="W30" i="3"/>
  <c r="V30" i="3"/>
  <c r="U30" i="3"/>
  <c r="S30" i="3"/>
  <c r="R30" i="3"/>
  <c r="Q30" i="3"/>
  <c r="O30" i="3"/>
  <c r="N30" i="3"/>
  <c r="M30" i="3"/>
  <c r="K30" i="3"/>
  <c r="J30" i="3"/>
  <c r="I30" i="3"/>
  <c r="C30" i="3"/>
  <c r="W29" i="3"/>
  <c r="V29" i="3"/>
  <c r="U29" i="3"/>
  <c r="S29" i="3"/>
  <c r="R29" i="3"/>
  <c r="Q29" i="3"/>
  <c r="O29" i="3"/>
  <c r="N29" i="3"/>
  <c r="M29" i="3"/>
  <c r="K29" i="3"/>
  <c r="J29" i="3"/>
  <c r="I29" i="3"/>
  <c r="C29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C28" i="3"/>
  <c r="W27" i="3"/>
  <c r="V27" i="3"/>
  <c r="U27" i="3"/>
  <c r="S27" i="3"/>
  <c r="R27" i="3"/>
  <c r="Q27" i="3"/>
  <c r="O27" i="3"/>
  <c r="N27" i="3"/>
  <c r="M27" i="3"/>
  <c r="K27" i="3"/>
  <c r="J27" i="3"/>
  <c r="I27" i="3"/>
  <c r="C27" i="3"/>
  <c r="W26" i="3"/>
  <c r="V26" i="3"/>
  <c r="U26" i="3"/>
  <c r="S26" i="3"/>
  <c r="R26" i="3"/>
  <c r="Q26" i="3"/>
  <c r="O26" i="3"/>
  <c r="N26" i="3"/>
  <c r="M26" i="3"/>
  <c r="K26" i="3"/>
  <c r="J26" i="3"/>
  <c r="I26" i="3"/>
  <c r="C26" i="3"/>
  <c r="W25" i="3"/>
  <c r="V25" i="3"/>
  <c r="U25" i="3"/>
  <c r="S25" i="3"/>
  <c r="R25" i="3"/>
  <c r="Q25" i="3"/>
  <c r="O25" i="3"/>
  <c r="N25" i="3"/>
  <c r="M25" i="3"/>
  <c r="K25" i="3"/>
  <c r="J25" i="3"/>
  <c r="I25" i="3"/>
  <c r="C25" i="3"/>
  <c r="Z24" i="3"/>
  <c r="Z25" i="3" s="1"/>
  <c r="B14" i="3"/>
  <c r="W12" i="3"/>
  <c r="V12" i="3"/>
  <c r="U12" i="3"/>
  <c r="T12" i="3"/>
  <c r="S12" i="3"/>
  <c r="R12" i="3"/>
  <c r="Q12" i="3"/>
  <c r="Q62" i="5" s="1"/>
  <c r="P12" i="3"/>
  <c r="P62" i="5" s="1"/>
  <c r="O12" i="3"/>
  <c r="O62" i="5" s="1"/>
  <c r="N12" i="3"/>
  <c r="N62" i="5" s="1"/>
  <c r="M12" i="3"/>
  <c r="M62" i="5" s="1"/>
  <c r="L12" i="3"/>
  <c r="L62" i="5" s="1"/>
  <c r="K12" i="3"/>
  <c r="K62" i="5" s="1"/>
  <c r="J12" i="3"/>
  <c r="J62" i="5" s="1"/>
  <c r="I12" i="3"/>
  <c r="I62" i="5" s="1"/>
  <c r="H12" i="3"/>
  <c r="C12" i="3"/>
  <c r="Z1" i="3"/>
  <c r="Z2" i="3" s="1"/>
  <c r="Z3" i="3" s="1"/>
  <c r="Z4" i="3" s="1"/>
  <c r="Z5" i="3" s="1"/>
  <c r="Z6" i="3" s="1"/>
  <c r="Z7" i="3" s="1"/>
  <c r="Z8" i="3" s="1"/>
  <c r="Z9" i="3" s="1"/>
  <c r="Z10" i="3" s="1"/>
  <c r="Z11" i="3" s="1"/>
  <c r="D2" i="2"/>
  <c r="B15" i="3" s="1"/>
  <c r="B16" i="3" s="1"/>
  <c r="C8" i="1"/>
  <c r="J43" i="5" l="1"/>
  <c r="N43" i="5"/>
  <c r="R43" i="5"/>
  <c r="V43" i="5"/>
  <c r="AA25" i="3"/>
  <c r="I43" i="5"/>
  <c r="M43" i="5"/>
  <c r="Q43" i="5"/>
  <c r="U43" i="5"/>
  <c r="S67" i="5"/>
  <c r="S53" i="5"/>
  <c r="R70" i="5"/>
  <c r="R54" i="5"/>
  <c r="O55" i="5"/>
  <c r="O71" i="5"/>
  <c r="N68" i="5"/>
  <c r="N56" i="5"/>
  <c r="V68" i="5"/>
  <c r="Z68" i="5" s="1"/>
  <c r="V56" i="5"/>
  <c r="O57" i="5"/>
  <c r="O33" i="5"/>
  <c r="W57" i="5"/>
  <c r="W33" i="5"/>
  <c r="K59" i="5"/>
  <c r="K69" i="5"/>
  <c r="S69" i="5"/>
  <c r="S59" i="5"/>
  <c r="K60" i="5"/>
  <c r="S60" i="5"/>
  <c r="S36" i="5"/>
  <c r="W60" i="5"/>
  <c r="W36" i="5"/>
  <c r="K72" i="5"/>
  <c r="K61" i="5"/>
  <c r="K37" i="5"/>
  <c r="K48" i="5" s="1"/>
  <c r="O72" i="5"/>
  <c r="O61" i="5"/>
  <c r="O37" i="5"/>
  <c r="O48" i="5" s="1"/>
  <c r="S72" i="5"/>
  <c r="S61" i="5"/>
  <c r="S37" i="5"/>
  <c r="S48" i="5" s="1"/>
  <c r="W72" i="5"/>
  <c r="W61" i="5"/>
  <c r="W37" i="5"/>
  <c r="W48" i="5" s="1"/>
  <c r="H43" i="5"/>
  <c r="L43" i="5"/>
  <c r="P43" i="5"/>
  <c r="T43" i="5"/>
  <c r="O46" i="5"/>
  <c r="W46" i="5"/>
  <c r="L34" i="5"/>
  <c r="T34" i="5"/>
  <c r="K35" i="5"/>
  <c r="S35" i="5"/>
  <c r="K67" i="5"/>
  <c r="K53" i="5"/>
  <c r="O67" i="5"/>
  <c r="O53" i="5"/>
  <c r="J54" i="5"/>
  <c r="J70" i="5"/>
  <c r="V54" i="5"/>
  <c r="V70" i="5"/>
  <c r="W71" i="5"/>
  <c r="W55" i="5"/>
  <c r="C69" i="5"/>
  <c r="C59" i="5"/>
  <c r="O69" i="5"/>
  <c r="O59" i="5"/>
  <c r="O60" i="5"/>
  <c r="U73" i="5"/>
  <c r="U62" i="5"/>
  <c r="U38" i="5"/>
  <c r="U49" i="5" s="1"/>
  <c r="H55" i="5"/>
  <c r="H62" i="5"/>
  <c r="H57" i="5"/>
  <c r="H58" i="5"/>
  <c r="Z12" i="3"/>
  <c r="H27" i="3"/>
  <c r="L27" i="3"/>
  <c r="P27" i="3"/>
  <c r="T27" i="3"/>
  <c r="H31" i="3"/>
  <c r="L31" i="3"/>
  <c r="P31" i="3"/>
  <c r="T31" i="3"/>
  <c r="H67" i="5"/>
  <c r="H53" i="5"/>
  <c r="L67" i="5"/>
  <c r="L53" i="5"/>
  <c r="P67" i="5"/>
  <c r="P53" i="5"/>
  <c r="T67" i="5"/>
  <c r="T53" i="5"/>
  <c r="C70" i="5"/>
  <c r="C54" i="5"/>
  <c r="K70" i="5"/>
  <c r="K54" i="5"/>
  <c r="O70" i="5"/>
  <c r="O54" i="5"/>
  <c r="S70" i="5"/>
  <c r="S54" i="5"/>
  <c r="W70" i="5"/>
  <c r="W54" i="5"/>
  <c r="L71" i="5"/>
  <c r="L55" i="5"/>
  <c r="P71" i="5"/>
  <c r="P55" i="5"/>
  <c r="T71" i="5"/>
  <c r="T55" i="5"/>
  <c r="C56" i="5"/>
  <c r="C68" i="5"/>
  <c r="K56" i="5"/>
  <c r="K68" i="5"/>
  <c r="O56" i="5"/>
  <c r="O68" i="5"/>
  <c r="S56" i="5"/>
  <c r="S68" i="5"/>
  <c r="W56" i="5"/>
  <c r="W68" i="5"/>
  <c r="L57" i="5"/>
  <c r="L33" i="5"/>
  <c r="L46" i="5" s="1"/>
  <c r="P57" i="5"/>
  <c r="P33" i="5"/>
  <c r="P46" i="5" s="1"/>
  <c r="T33" i="5"/>
  <c r="T46" i="5" s="1"/>
  <c r="T57" i="5"/>
  <c r="I58" i="5"/>
  <c r="M58" i="5"/>
  <c r="Q58" i="5"/>
  <c r="U58" i="5"/>
  <c r="H69" i="5"/>
  <c r="H59" i="5"/>
  <c r="L69" i="5"/>
  <c r="L59" i="5"/>
  <c r="P69" i="5"/>
  <c r="P59" i="5"/>
  <c r="T69" i="5"/>
  <c r="T59" i="5"/>
  <c r="H60" i="5"/>
  <c r="H36" i="5"/>
  <c r="L60" i="5"/>
  <c r="L36" i="5"/>
  <c r="P60" i="5"/>
  <c r="P36" i="5"/>
  <c r="T60" i="5"/>
  <c r="T36" i="5"/>
  <c r="H72" i="5"/>
  <c r="H61" i="5"/>
  <c r="H37" i="5"/>
  <c r="H48" i="5" s="1"/>
  <c r="L72" i="5"/>
  <c r="L61" i="5"/>
  <c r="L37" i="5"/>
  <c r="L48" i="5" s="1"/>
  <c r="P72" i="5"/>
  <c r="P37" i="5"/>
  <c r="P48" i="5" s="1"/>
  <c r="P61" i="5"/>
  <c r="T72" i="5"/>
  <c r="T61" i="5"/>
  <c r="T37" i="5"/>
  <c r="T48" i="5" s="1"/>
  <c r="R73" i="5"/>
  <c r="R62" i="5"/>
  <c r="R38" i="5"/>
  <c r="R49" i="5" s="1"/>
  <c r="V62" i="5"/>
  <c r="V73" i="5"/>
  <c r="Z73" i="5" s="1"/>
  <c r="V38" i="5"/>
  <c r="V49" i="5" s="1"/>
  <c r="O31" i="5"/>
  <c r="W31" i="5"/>
  <c r="N32" i="5"/>
  <c r="N44" i="5" s="1"/>
  <c r="V32" i="5"/>
  <c r="V44" i="5" s="1"/>
  <c r="M34" i="5"/>
  <c r="U34" i="5"/>
  <c r="L35" i="5"/>
  <c r="L45" i="5" s="1"/>
  <c r="T35" i="5"/>
  <c r="K36" i="5"/>
  <c r="C60" i="5"/>
  <c r="C58" i="5"/>
  <c r="C62" i="5"/>
  <c r="C57" i="5"/>
  <c r="C61" i="5"/>
  <c r="C55" i="5"/>
  <c r="C67" i="5"/>
  <c r="C53" i="5"/>
  <c r="C63" i="5" s="1"/>
  <c r="W67" i="5"/>
  <c r="W53" i="5"/>
  <c r="N70" i="5"/>
  <c r="N54" i="5"/>
  <c r="K71" i="5"/>
  <c r="K55" i="5"/>
  <c r="S71" i="5"/>
  <c r="S55" i="5"/>
  <c r="J68" i="5"/>
  <c r="J56" i="5"/>
  <c r="R68" i="5"/>
  <c r="R56" i="5"/>
  <c r="K57" i="5"/>
  <c r="K33" i="5"/>
  <c r="K46" i="5" s="1"/>
  <c r="S57" i="5"/>
  <c r="S33" i="5"/>
  <c r="S46" i="5" s="1"/>
  <c r="W69" i="5"/>
  <c r="W59" i="5"/>
  <c r="H26" i="3"/>
  <c r="L26" i="3"/>
  <c r="P26" i="3"/>
  <c r="T26" i="3"/>
  <c r="H30" i="3"/>
  <c r="L30" i="3"/>
  <c r="P30" i="3"/>
  <c r="T30" i="3"/>
  <c r="I67" i="5"/>
  <c r="I53" i="5"/>
  <c r="M67" i="5"/>
  <c r="M53" i="5"/>
  <c r="Q53" i="5"/>
  <c r="Q67" i="5"/>
  <c r="U67" i="5"/>
  <c r="U53" i="5"/>
  <c r="H70" i="5"/>
  <c r="H54" i="5"/>
  <c r="L70" i="5"/>
  <c r="L54" i="5"/>
  <c r="P70" i="5"/>
  <c r="P54" i="5"/>
  <c r="T70" i="5"/>
  <c r="T54" i="5"/>
  <c r="I71" i="5"/>
  <c r="I55" i="5"/>
  <c r="M71" i="5"/>
  <c r="M55" i="5"/>
  <c r="Q71" i="5"/>
  <c r="Q55" i="5"/>
  <c r="U71" i="5"/>
  <c r="U55" i="5"/>
  <c r="H68" i="5"/>
  <c r="H56" i="5"/>
  <c r="H32" i="5"/>
  <c r="H44" i="5" s="1"/>
  <c r="L56" i="5"/>
  <c r="L68" i="5"/>
  <c r="L32" i="5"/>
  <c r="L44" i="5" s="1"/>
  <c r="P68" i="5"/>
  <c r="P56" i="5"/>
  <c r="P32" i="5"/>
  <c r="P44" i="5" s="1"/>
  <c r="T68" i="5"/>
  <c r="T56" i="5"/>
  <c r="T32" i="5"/>
  <c r="T44" i="5" s="1"/>
  <c r="I57" i="5"/>
  <c r="M57" i="5"/>
  <c r="Q57" i="5"/>
  <c r="U57" i="5"/>
  <c r="J58" i="5"/>
  <c r="J34" i="5"/>
  <c r="J47" i="5" s="1"/>
  <c r="N58" i="5"/>
  <c r="N34" i="5"/>
  <c r="N47" i="5" s="1"/>
  <c r="R58" i="5"/>
  <c r="R34" i="5"/>
  <c r="R47" i="5" s="1"/>
  <c r="V58" i="5"/>
  <c r="V34" i="5"/>
  <c r="V47" i="5" s="1"/>
  <c r="I69" i="5"/>
  <c r="I59" i="5"/>
  <c r="I35" i="5"/>
  <c r="M69" i="5"/>
  <c r="M59" i="5"/>
  <c r="M35" i="5"/>
  <c r="M45" i="5" s="1"/>
  <c r="Q69" i="5"/>
  <c r="Q59" i="5"/>
  <c r="Q35" i="5"/>
  <c r="U69" i="5"/>
  <c r="U59" i="5"/>
  <c r="U35" i="5"/>
  <c r="I60" i="5"/>
  <c r="I36" i="5"/>
  <c r="M60" i="5"/>
  <c r="M36" i="5"/>
  <c r="Q36" i="5"/>
  <c r="Q60" i="5"/>
  <c r="U60" i="5"/>
  <c r="U36" i="5"/>
  <c r="I61" i="5"/>
  <c r="I37" i="5"/>
  <c r="I48" i="5" s="1"/>
  <c r="I72" i="5"/>
  <c r="M72" i="5"/>
  <c r="M61" i="5"/>
  <c r="M37" i="5"/>
  <c r="M48" i="5" s="1"/>
  <c r="Q37" i="5"/>
  <c r="Q48" i="5" s="1"/>
  <c r="Q61" i="5"/>
  <c r="Q72" i="5"/>
  <c r="U37" i="5"/>
  <c r="U48" i="5" s="1"/>
  <c r="U72" i="5"/>
  <c r="U61" i="5"/>
  <c r="S62" i="5"/>
  <c r="S73" i="5"/>
  <c r="S38" i="5"/>
  <c r="S49" i="5" s="1"/>
  <c r="W62" i="5"/>
  <c r="W73" i="5"/>
  <c r="W38" i="5"/>
  <c r="W49" i="5" s="1"/>
  <c r="L31" i="5"/>
  <c r="L47" i="5" s="1"/>
  <c r="P31" i="5"/>
  <c r="T31" i="5"/>
  <c r="T47" i="5" s="1"/>
  <c r="C32" i="5"/>
  <c r="C44" i="5" s="1"/>
  <c r="O32" i="5"/>
  <c r="O44" i="5" s="1"/>
  <c r="W32" i="5"/>
  <c r="W44" i="5" s="1"/>
  <c r="P34" i="5"/>
  <c r="C35" i="5"/>
  <c r="C45" i="5" s="1"/>
  <c r="O35" i="5"/>
  <c r="W35" i="5"/>
  <c r="W45" i="5" s="1"/>
  <c r="H25" i="3"/>
  <c r="L25" i="3"/>
  <c r="P25" i="3"/>
  <c r="Z26" i="3" s="1"/>
  <c r="T25" i="3"/>
  <c r="J67" i="5"/>
  <c r="J53" i="5"/>
  <c r="N67" i="5"/>
  <c r="N53" i="5"/>
  <c r="R67" i="5"/>
  <c r="R53" i="5"/>
  <c r="V67" i="5"/>
  <c r="Z67" i="5" s="1"/>
  <c r="AD67" i="5" s="1"/>
  <c r="V53" i="5"/>
  <c r="I54" i="5"/>
  <c r="I70" i="5"/>
  <c r="M70" i="5"/>
  <c r="M54" i="5"/>
  <c r="Q54" i="5"/>
  <c r="Q70" i="5"/>
  <c r="U70" i="5"/>
  <c r="U54" i="5"/>
  <c r="J71" i="5"/>
  <c r="J55" i="5"/>
  <c r="N55" i="5"/>
  <c r="N71" i="5"/>
  <c r="R71" i="5"/>
  <c r="R55" i="5"/>
  <c r="V71" i="5"/>
  <c r="V55" i="5"/>
  <c r="I68" i="5"/>
  <c r="I56" i="5"/>
  <c r="I32" i="5"/>
  <c r="I44" i="5" s="1"/>
  <c r="M68" i="5"/>
  <c r="M56" i="5"/>
  <c r="M32" i="5"/>
  <c r="M44" i="5" s="1"/>
  <c r="Q68" i="5"/>
  <c r="Q56" i="5"/>
  <c r="Q32" i="5"/>
  <c r="Q44" i="5" s="1"/>
  <c r="U68" i="5"/>
  <c r="U32" i="5"/>
  <c r="U44" i="5" s="1"/>
  <c r="U56" i="5"/>
  <c r="J57" i="5"/>
  <c r="N57" i="5"/>
  <c r="R57" i="5"/>
  <c r="V57" i="5"/>
  <c r="K58" i="5"/>
  <c r="K34" i="5"/>
  <c r="K47" i="5" s="1"/>
  <c r="O58" i="5"/>
  <c r="O34" i="5"/>
  <c r="S34" i="5"/>
  <c r="S47" i="5" s="1"/>
  <c r="S58" i="5"/>
  <c r="W58" i="5"/>
  <c r="W34" i="5"/>
  <c r="J69" i="5"/>
  <c r="J59" i="5"/>
  <c r="J35" i="5"/>
  <c r="J45" i="5" s="1"/>
  <c r="N69" i="5"/>
  <c r="N59" i="5"/>
  <c r="N35" i="5"/>
  <c r="N45" i="5" s="1"/>
  <c r="R69" i="5"/>
  <c r="R35" i="5"/>
  <c r="R45" i="5" s="1"/>
  <c r="R59" i="5"/>
  <c r="V59" i="5"/>
  <c r="V35" i="5"/>
  <c r="V45" i="5" s="1"/>
  <c r="V69" i="5"/>
  <c r="J60" i="5"/>
  <c r="N60" i="5"/>
  <c r="R60" i="5"/>
  <c r="V60" i="5"/>
  <c r="J72" i="5"/>
  <c r="J61" i="5"/>
  <c r="J37" i="5"/>
  <c r="J48" i="5" s="1"/>
  <c r="N61" i="5"/>
  <c r="N72" i="5"/>
  <c r="N37" i="5"/>
  <c r="N48" i="5" s="1"/>
  <c r="R72" i="5"/>
  <c r="R61" i="5"/>
  <c r="R37" i="5"/>
  <c r="R48" i="5" s="1"/>
  <c r="V61" i="5"/>
  <c r="V37" i="5"/>
  <c r="V48" i="5" s="1"/>
  <c r="V72" i="5"/>
  <c r="T73" i="5"/>
  <c r="T38" i="5"/>
  <c r="T49" i="5" s="1"/>
  <c r="T62" i="5"/>
  <c r="C29" i="5"/>
  <c r="K29" i="5"/>
  <c r="O29" i="5"/>
  <c r="S29" i="5"/>
  <c r="W29" i="5"/>
  <c r="J30" i="5"/>
  <c r="J46" i="5" s="1"/>
  <c r="N30" i="5"/>
  <c r="N46" i="5" s="1"/>
  <c r="R30" i="5"/>
  <c r="R46" i="5" s="1"/>
  <c r="V30" i="5"/>
  <c r="V46" i="5" s="1"/>
  <c r="I31" i="5"/>
  <c r="M31" i="5"/>
  <c r="M47" i="5" s="1"/>
  <c r="Q31" i="5"/>
  <c r="U31" i="5"/>
  <c r="U47" i="5" s="1"/>
  <c r="J32" i="5"/>
  <c r="J44" i="5" s="1"/>
  <c r="R32" i="5"/>
  <c r="R44" i="5" s="1"/>
  <c r="M33" i="5"/>
  <c r="M46" i="5" s="1"/>
  <c r="U33" i="5"/>
  <c r="U46" i="5" s="1"/>
  <c r="I34" i="5"/>
  <c r="Q34" i="5"/>
  <c r="H35" i="5"/>
  <c r="H45" i="5" s="1"/>
  <c r="P35" i="5"/>
  <c r="P45" i="5" s="1"/>
  <c r="O36" i="5"/>
  <c r="M43" i="6"/>
  <c r="Z71" i="5"/>
  <c r="I39" i="6"/>
  <c r="I43" i="6"/>
  <c r="Q39" i="6"/>
  <c r="Q60" i="6" s="1"/>
  <c r="Q43" i="6"/>
  <c r="Z44" i="6" s="1"/>
  <c r="U39" i="6"/>
  <c r="U43" i="6"/>
  <c r="H60" i="6"/>
  <c r="H46" i="6"/>
  <c r="H39" i="6"/>
  <c r="L60" i="6"/>
  <c r="L46" i="6"/>
  <c r="L39" i="6"/>
  <c r="P46" i="6"/>
  <c r="P39" i="6"/>
  <c r="P60" i="6" s="1"/>
  <c r="T60" i="6"/>
  <c r="T46" i="6"/>
  <c r="J60" i="6"/>
  <c r="I60" i="6"/>
  <c r="M60" i="6"/>
  <c r="U60" i="6"/>
  <c r="N60" i="6"/>
  <c r="Z68" i="6"/>
  <c r="AD67" i="6"/>
  <c r="Z70" i="5"/>
  <c r="Z72" i="5"/>
  <c r="J39" i="6"/>
  <c r="N39" i="6"/>
  <c r="R39" i="6"/>
  <c r="R60" i="6" s="1"/>
  <c r="V39" i="6"/>
  <c r="V60" i="6" s="1"/>
  <c r="C39" i="6"/>
  <c r="C60" i="6" s="1"/>
  <c r="K39" i="6"/>
  <c r="O39" i="6"/>
  <c r="O60" i="6" s="1"/>
  <c r="S39" i="6"/>
  <c r="S60" i="6" s="1"/>
  <c r="W39" i="6"/>
  <c r="W60" i="6" s="1"/>
  <c r="Z69" i="5"/>
  <c r="C46" i="6"/>
  <c r="K46" i="6"/>
  <c r="O46" i="6"/>
  <c r="S46" i="6"/>
  <c r="W46" i="6"/>
  <c r="Z45" i="6" l="1"/>
  <c r="AA26" i="3"/>
  <c r="Z27" i="3"/>
  <c r="O43" i="5"/>
  <c r="O39" i="5"/>
  <c r="R63" i="5"/>
  <c r="J63" i="5"/>
  <c r="I63" i="5"/>
  <c r="W47" i="5"/>
  <c r="T63" i="5"/>
  <c r="L63" i="5"/>
  <c r="K45" i="5"/>
  <c r="T39" i="5"/>
  <c r="L39" i="5"/>
  <c r="S63" i="5"/>
  <c r="V39" i="5"/>
  <c r="N39" i="5"/>
  <c r="I47" i="5"/>
  <c r="K43" i="5"/>
  <c r="K39" i="5"/>
  <c r="Q45" i="5"/>
  <c r="Q63" i="5"/>
  <c r="O47" i="5"/>
  <c r="K63" i="5"/>
  <c r="U39" i="5"/>
  <c r="M39" i="5"/>
  <c r="Z69" i="6"/>
  <c r="AD68" i="6"/>
  <c r="W43" i="5"/>
  <c r="W39" i="5"/>
  <c r="C43" i="5"/>
  <c r="C39" i="5"/>
  <c r="V63" i="5"/>
  <c r="Z63" i="5" s="1"/>
  <c r="N63" i="5"/>
  <c r="P47" i="5"/>
  <c r="U45" i="5"/>
  <c r="U63" i="5"/>
  <c r="M63" i="5"/>
  <c r="W63" i="5"/>
  <c r="T45" i="5"/>
  <c r="P63" i="5"/>
  <c r="H63" i="5"/>
  <c r="P39" i="5"/>
  <c r="H39" i="5"/>
  <c r="R39" i="5"/>
  <c r="J39" i="5"/>
  <c r="Q47" i="5"/>
  <c r="S43" i="5"/>
  <c r="S39" i="5"/>
  <c r="O45" i="5"/>
  <c r="I45" i="5"/>
  <c r="O63" i="5"/>
  <c r="S45" i="5"/>
  <c r="Q39" i="5"/>
  <c r="I39" i="5"/>
  <c r="Z70" i="6" l="1"/>
  <c r="AD68" i="5"/>
  <c r="AA73" i="5"/>
  <c r="AA68" i="5"/>
  <c r="AA71" i="5"/>
  <c r="AA69" i="5"/>
  <c r="AA72" i="5"/>
  <c r="AA70" i="5"/>
  <c r="AA67" i="5"/>
  <c r="C11" i="1"/>
  <c r="C20" i="1"/>
  <c r="AA27" i="3"/>
  <c r="AD69" i="5" s="1"/>
  <c r="Z28" i="3"/>
  <c r="Z46" i="6"/>
  <c r="Z47" i="6" l="1"/>
  <c r="AD69" i="6"/>
  <c r="Z29" i="3"/>
  <c r="AA28" i="3"/>
  <c r="AD70" i="5" s="1"/>
  <c r="Z71" i="6"/>
  <c r="AD70" i="6" l="1"/>
  <c r="Z30" i="3"/>
  <c r="AA29" i="3"/>
  <c r="AD71" i="5" s="1"/>
  <c r="Z72" i="6"/>
  <c r="Z48" i="6"/>
  <c r="Z49" i="6" l="1"/>
  <c r="AB50" i="6"/>
  <c r="Z73" i="6"/>
  <c r="AA30" i="3"/>
  <c r="AD72" i="5" s="1"/>
  <c r="Z31" i="3"/>
  <c r="AD71" i="6"/>
  <c r="AA44" i="6" l="1"/>
  <c r="AA48" i="6"/>
  <c r="AA46" i="6"/>
  <c r="AA47" i="6"/>
  <c r="AA45" i="6"/>
  <c r="AA49" i="6"/>
  <c r="AA43" i="6"/>
  <c r="C14" i="1"/>
  <c r="AD72" i="6"/>
  <c r="AA31" i="3"/>
  <c r="Z32" i="3"/>
  <c r="AD73" i="5" l="1"/>
  <c r="AD74" i="5" s="1"/>
  <c r="C12" i="1" s="1"/>
  <c r="AA32" i="3"/>
  <c r="C7" i="1" s="1"/>
  <c r="AD73" i="6"/>
  <c r="AD74" i="6" s="1"/>
  <c r="C9" i="1" l="1"/>
  <c r="C19" i="1"/>
  <c r="AC43" i="6"/>
  <c r="AC44" i="6"/>
  <c r="C21" i="1"/>
  <c r="AC45" i="6"/>
  <c r="AC46" i="6"/>
  <c r="AC47" i="6"/>
  <c r="AC48" i="6"/>
  <c r="AC49" i="6"/>
  <c r="AC50" i="6" l="1"/>
  <c r="C22" i="1" l="1"/>
  <c r="C15" i="1"/>
</calcChain>
</file>

<file path=xl/sharedStrings.xml><?xml version="1.0" encoding="utf-8"?>
<sst xmlns="http://schemas.openxmlformats.org/spreadsheetml/2006/main" count="425" uniqueCount="258">
  <si>
    <t>Osebna vozila</t>
  </si>
  <si>
    <t>Občina</t>
  </si>
  <si>
    <t>Ljubljana</t>
  </si>
  <si>
    <t>Leto</t>
  </si>
  <si>
    <t>Predvideno št. avtomobilov</t>
  </si>
  <si>
    <t>Povprečno prevožena razdalja (na osebni avto)</t>
  </si>
  <si>
    <t>Skupna prevožena razdalja vseh avtomobilov v občini</t>
  </si>
  <si>
    <t>mio km</t>
  </si>
  <si>
    <t>Povprečna specifična poraba energije (na osebni avto)</t>
  </si>
  <si>
    <t>kWh/km</t>
  </si>
  <si>
    <t>Skupna poraba energije za osebni promet</t>
  </si>
  <si>
    <t>GWh</t>
  </si>
  <si>
    <t>Povprečna emisija CO2</t>
  </si>
  <si>
    <t>g CO2/km</t>
  </si>
  <si>
    <t>Skupna emisija CO2</t>
  </si>
  <si>
    <t>t CO2</t>
  </si>
  <si>
    <t>Scenarij I: Izbrana prevožena razdalja</t>
  </si>
  <si>
    <t>km</t>
  </si>
  <si>
    <t>No. OA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</si>
  <si>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</si>
  <si>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</si>
  <si>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</si>
  <si>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</si>
  <si>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</si>
  <si>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</si>
  <si>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</si>
  <si>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</si>
  <si>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</si>
  <si>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</si>
  <si>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</si>
  <si>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</si>
  <si>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</si>
  <si>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</si>
  <si>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</si>
  <si>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</si>
  <si>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</si>
  <si>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</si>
  <si>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</si>
  <si>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</si>
  <si>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</si>
  <si>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</si>
  <si>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</si>
  <si>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</si>
  <si>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</si>
  <si>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</si>
  <si>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</si>
  <si>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</si>
  <si>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</si>
  <si>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</si>
  <si>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</si>
  <si>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</si>
  <si>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</si>
  <si>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</si>
  <si>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</si>
  <si>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</si>
  <si>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</si>
  <si>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</si>
  <si>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</si>
  <si>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</si>
  <si>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</si>
  <si>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</si>
  <si>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</si>
  <si>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</si>
  <si>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</si>
  <si>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</si>
  <si>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</si>
  <si>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</si>
  <si>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</si>
  <si>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</si>
  <si>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</si>
  <si>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</si>
  <si>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</si>
  <si>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</si>
  <si>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</si>
  <si>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</si>
  <si>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</si>
  <si>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</si>
  <si>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</si>
  <si>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</si>
  <si>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</si>
  <si>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</si>
  <si>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</si>
  <si>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</si>
  <si>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</si>
  <si>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</si>
  <si>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</si>
  <si>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</si>
  <si>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</si>
  <si>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</si>
  <si>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</si>
  <si>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</si>
  <si>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</si>
  <si>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</si>
  <si>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</si>
  <si>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</si>
  <si>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</si>
  <si>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</si>
  <si>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</si>
  <si>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</si>
  <si>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</si>
  <si>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</si>
  <si>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</si>
  <si>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</si>
  <si>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</si>
  <si>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</si>
  <si>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</si>
  <si>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</si>
  <si>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</si>
  <si>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</si>
  <si>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</si>
  <si>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</si>
  <si>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</si>
  <si>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</si>
  <si>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</si>
  <si>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</si>
  <si>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</si>
  <si>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</si>
  <si>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</si>
  <si>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</si>
  <si>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</si>
  <si>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</si>
  <si>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</si>
  <si>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</si>
  <si>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</si>
  <si>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</si>
  <si>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</si>
  <si>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</si>
  <si>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</si>
  <si>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</si>
  <si>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</si>
  <si>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</si>
  <si>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</si>
  <si>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</si>
  <si>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</si>
  <si>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</si>
  <si>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</si>
  <si>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</si>
  <si>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</si>
  <si>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</si>
  <si>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</si>
  <si>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</si>
  <si>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</si>
  <si>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</si>
  <si>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</si>
  <si>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</si>
  <si>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</si>
  <si>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</si>
  <si>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</si>
  <si>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</si>
  <si>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</si>
  <si>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</si>
  <si>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</si>
  <si>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</si>
  <si>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</si>
  <si>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</si>
  <si>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</si>
  <si>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</si>
  <si>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</si>
  <si>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</si>
  <si>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</si>
  <si>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</si>
  <si>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</si>
  <si>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</si>
  <si>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</si>
  <si>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</si>
  <si>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</si>
  <si>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</si>
  <si>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</si>
  <si>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</si>
  <si>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</si>
  <si>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</si>
  <si>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</si>
  <si>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</si>
  <si>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</si>
  <si>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</si>
  <si>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</si>
  <si>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</si>
  <si>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</si>
  <si>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</si>
  <si>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Slovenskih goricah</t>
  </si>
  <si>
    <t>Sveti Andraž v Slov.goricah</t>
  </si>
  <si>
    <t>Sveti Jurij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</si>
  <si>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</si>
  <si>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</si>
  <si>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</si>
  <si>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</si>
  <si>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</si>
  <si>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</si>
  <si>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</si>
  <si>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 pri Celju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</si>
  <si>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</si>
  <si>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</si>
  <si>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</si>
  <si>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</si>
  <si>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</si>
  <si>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</si>
  <si>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</si>
  <si>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</si>
  <si>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</si>
  <si>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</si>
  <si>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</si>
  <si>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</si>
  <si>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</si>
  <si>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</si>
  <si>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</si>
  <si>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</si>
  <si>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</si>
  <si>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</si>
  <si>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</si>
  <si>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</si>
  <si>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</si>
  <si>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</si>
  <si>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</si>
  <si>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</si>
  <si>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</si>
  <si>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</si>
  <si>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</si>
  <si>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</si>
  <si>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</si>
  <si>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</si>
  <si>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</si>
  <si>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</si>
  <si>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</si>
  <si>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</si>
  <si>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</si>
  <si>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</si>
  <si>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</si>
  <si>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</si>
  <si>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</si>
  <si>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</si>
  <si>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SLOVENIJA</t>
  </si>
  <si>
    <t>OA-B</t>
  </si>
  <si>
    <t>OA-B Hi</t>
  </si>
  <si>
    <t>OA-B PHEV</t>
  </si>
  <si>
    <t>OA-D</t>
  </si>
  <si>
    <t>OA-D Hi</t>
  </si>
  <si>
    <t>OA-D PHEV</t>
  </si>
  <si>
    <t>OA-UNP</t>
  </si>
  <si>
    <t>OA-SZP</t>
  </si>
  <si>
    <t>OA-BEV</t>
  </si>
  <si>
    <t>OA-H2</t>
  </si>
  <si>
    <t>vsi</t>
  </si>
  <si>
    <t>leto</t>
  </si>
  <si>
    <t>št. avtov leta 2017</t>
  </si>
  <si>
    <t>Pričakovano št. avtomobilov</t>
  </si>
  <si>
    <t>bencin</t>
  </si>
  <si>
    <t>dizel</t>
  </si>
  <si>
    <t>plin</t>
  </si>
  <si>
    <t>hibrid</t>
  </si>
  <si>
    <t>PHEV</t>
  </si>
  <si>
    <t>BEV</t>
  </si>
  <si>
    <t>HEV</t>
  </si>
  <si>
    <t>list</t>
  </si>
  <si>
    <t>skupaj</t>
  </si>
  <si>
    <t>poraba /km</t>
  </si>
  <si>
    <t>Skupna poraba</t>
  </si>
  <si>
    <t>poraba utežena /km</t>
  </si>
  <si>
    <t>povprečje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</si>
</sst>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9C57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/>
    <xf numFmtId="0" fontId="3" fillId="3" borderId="0" applyNumberFormat="0" applyBorder="0"/>
  </cellStyleXfs>
  <cellXfs count="48">
    <xf numFmtId="0" fontId="0" fillId="0" borderId="0" xfId="0"/>
    <xf numFmtId="0" fontId="0" fillId="4" borderId="0" xfId="0" applyFill="1"/>
    <xf numFmtId="0" fontId="4" fillId="4" borderId="0" xfId="0" applyFont="1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5" fillId="4" borderId="4" xfId="0" applyFont="1" applyFill="1" applyBorder="1"/>
    <xf numFmtId="0" fontId="0" fillId="4" borderId="6" xfId="0" applyFill="1" applyBorder="1"/>
    <xf numFmtId="0" fontId="0" fillId="4" borderId="4" xfId="0" applyFill="1" applyBorder="1"/>
    <xf numFmtId="0" fontId="7" fillId="4" borderId="0" xfId="0" applyFont="1" applyFill="1"/>
    <xf numFmtId="0" fontId="0" fillId="4" borderId="4" xfId="0" applyFill="1" applyBorder="1" applyAlignment="1">
      <alignment wrapText="1"/>
    </xf>
    <xf numFmtId="3" fontId="5" fillId="4" borderId="0" xfId="0" applyNumberFormat="1" applyFont="1" applyFill="1"/>
    <xf numFmtId="164" fontId="5" fillId="4" borderId="0" xfId="0" applyNumberFormat="1" applyFont="1" applyFill="1"/>
    <xf numFmtId="0" fontId="5" fillId="4" borderId="0" xfId="0" applyFont="1" applyFill="1"/>
    <xf numFmtId="2" fontId="5" fillId="4" borderId="0" xfId="0" applyNumberFormat="1" applyFont="1" applyFill="1"/>
    <xf numFmtId="0" fontId="0" fillId="4" borderId="7" xfId="0" applyFill="1" applyBorder="1" applyAlignment="1">
      <alignment wrapText="1"/>
    </xf>
    <xf numFmtId="0" fontId="5" fillId="4" borderId="8" xfId="0" applyFont="1" applyFill="1" applyBorder="1"/>
    <xf numFmtId="0" fontId="0" fillId="4" borderId="9" xfId="0" applyFill="1" applyBorder="1"/>
    <xf numFmtId="0" fontId="0" fillId="4" borderId="0" xfId="0" applyFill="1" applyAlignment="1">
      <alignment wrapText="1"/>
    </xf>
    <xf numFmtId="0" fontId="8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9" fillId="6" borderId="4" xfId="0" applyFont="1" applyFill="1" applyBorder="1" applyAlignment="1">
      <alignment wrapText="1"/>
    </xf>
    <xf numFmtId="0" fontId="0" fillId="6" borderId="6" xfId="0" applyFill="1" applyBorder="1"/>
    <xf numFmtId="0" fontId="0" fillId="6" borderId="4" xfId="0" applyFill="1" applyBorder="1" applyAlignment="1">
      <alignment wrapText="1"/>
    </xf>
    <xf numFmtId="0" fontId="5" fillId="6" borderId="0" xfId="0" applyFont="1" applyFill="1"/>
    <xf numFmtId="0" fontId="0" fillId="6" borderId="4" xfId="0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5" fillId="6" borderId="8" xfId="0" applyFont="1" applyFill="1" applyBorder="1"/>
    <xf numFmtId="0" fontId="0" fillId="6" borderId="9" xfId="0" applyFill="1" applyBorder="1"/>
    <xf numFmtId="0" fontId="9" fillId="0" borderId="0" xfId="0" applyFont="1"/>
    <xf numFmtId="0" fontId="10" fillId="0" borderId="0" xfId="0" applyFont="1"/>
    <xf numFmtId="3" fontId="0" fillId="0" borderId="0" xfId="0" applyNumberFormat="1"/>
    <xf numFmtId="0" fontId="0" fillId="0" borderId="0" xfId="0"/>
    <xf numFmtId="0" fontId="2" fillId="2" borderId="1" xfId="1" applyFont="1" applyFill="1" applyBorder="1"/>
    <xf numFmtId="0" fontId="2" fillId="2" borderId="3" xfId="1" applyFont="1" applyFill="1" applyBorder="1"/>
    <xf numFmtId="165" fontId="0" fillId="0" borderId="0" xfId="0" applyNumberFormat="1"/>
    <xf numFmtId="0" fontId="2" fillId="2" borderId="4" xfId="1" applyFont="1" applyFill="1" applyBorder="1"/>
    <xf numFmtId="0" fontId="2" fillId="2" borderId="6" xfId="1" applyFont="1" applyFill="1" applyBorder="1"/>
    <xf numFmtId="0" fontId="2" fillId="2" borderId="7" xfId="1" applyFont="1" applyFill="1" applyBorder="1"/>
    <xf numFmtId="0" fontId="2" fillId="2" borderId="9" xfId="1" applyFont="1" applyFill="1" applyBorder="1"/>
    <xf numFmtId="3" fontId="2" fillId="2" borderId="9" xfId="1" applyNumberFormat="1" applyFont="1" applyFill="1" applyBorder="1"/>
    <xf numFmtId="166" fontId="0" fillId="0" borderId="0" xfId="0" applyNumberFormat="1"/>
    <xf numFmtId="2" fontId="0" fillId="0" borderId="0" xfId="0" applyNumberFormat="1"/>
    <xf numFmtId="4" fontId="0" fillId="0" borderId="0" xfId="0" applyNumberFormat="1"/>
    <xf numFmtId="0" fontId="1" fillId="6" borderId="6" xfId="0" applyFont="1" applyFill="1" applyBorder="1"/>
    <xf numFmtId="0" fontId="6" fillId="5" borderId="5" xfId="2" applyFont="1" applyFill="1" applyBorder="1" applyAlignment="1" applyProtection="1">
      <alignment horizontal="right"/>
      <protection locked="0"/>
    </xf>
    <xf numFmtId="0" fontId="6" fillId="5" borderId="5" xfId="2" applyFont="1" applyFill="1" applyBorder="1" applyProtection="1">
      <protection locked="0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in delež osebnih avtomobilov glede na pogon</a:t>
            </a:r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1D-4226-8FE7-8244FD404C3C}"/>
              </c:ext>
            </c:extLst>
          </c:dPt>
          <c:dPt>
            <c:idx val="1"/>
            <c:bubble3D val="0"/>
            <c:spPr>
              <a:prstGeom prst="rect">
                <a:avLst/>
              </a:prstGeom>
              <a:solidFill>
                <a:schemeClr val="tx1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1D-4226-8FE7-8244FD404C3C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rgbClr val="FF0000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71D-4226-8FE7-8244FD404C3C}"/>
              </c:ext>
            </c:extLst>
          </c:dPt>
          <c:dPt>
            <c:idx val="3"/>
            <c:bubble3D val="0"/>
            <c:spPr>
              <a:prstGeom prst="rect">
                <a:avLst/>
              </a:prstGeom>
              <a:solidFill>
                <a:schemeClr val="accent4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71D-4226-8FE7-8244FD404C3C}"/>
              </c:ext>
            </c:extLst>
          </c:dPt>
          <c:dPt>
            <c:idx val="4"/>
            <c:bubble3D val="0"/>
            <c:spPr>
              <a:prstGeom prst="rect">
                <a:avLst/>
              </a:prstGeom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71D-4226-8FE7-8244FD404C3C}"/>
              </c:ext>
            </c:extLst>
          </c:dPt>
          <c:dPt>
            <c:idx val="5"/>
            <c:bubble3D val="0"/>
            <c:spPr>
              <a:prstGeom prst="rect">
                <a:avLst/>
              </a:prstGeom>
              <a:solidFill>
                <a:srgbClr val="92D050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71D-4226-8FE7-8244FD404C3C}"/>
              </c:ext>
            </c:extLst>
          </c:dPt>
          <c:dPt>
            <c:idx val="6"/>
            <c:bubble3D val="0"/>
            <c:spPr>
              <a:prstGeom prst="rect">
                <a:avLst/>
              </a:prstGeom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71D-4226-8FE7-8244FD404C3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prstGeom prst="rect">
                  <a:avLst/>
                </a:prstGeom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'Št. avtomobilov'!$Y$25:$Y$31</c:f>
              <c:strCache>
                <c:ptCount val="7"/>
                <c:pt idx="0">
                  <c:v>bencin</c:v>
                </c:pt>
                <c:pt idx="1">
                  <c:v>dizel</c:v>
                </c:pt>
                <c:pt idx="2">
                  <c:v>plin</c:v>
                </c:pt>
                <c:pt idx="3">
                  <c:v>hibrid</c:v>
                </c:pt>
                <c:pt idx="4">
                  <c:v>PHEV</c:v>
                </c:pt>
                <c:pt idx="5">
                  <c:v>BEV</c:v>
                </c:pt>
                <c:pt idx="6">
                  <c:v>HEV</c:v>
                </c:pt>
              </c:strCache>
            </c:strRef>
          </c:cat>
          <c:val>
            <c:numRef>
              <c:f>'Št. avtomobilov'!$AA$25:$AA$31</c:f>
              <c:numCache>
                <c:formatCode>General</c:formatCode>
                <c:ptCount val="7"/>
                <c:pt idx="0">
                  <c:v>24317</c:v>
                </c:pt>
                <c:pt idx="1">
                  <c:v>20056</c:v>
                </c:pt>
                <c:pt idx="2">
                  <c:v>1192</c:v>
                </c:pt>
                <c:pt idx="3">
                  <c:v>16844</c:v>
                </c:pt>
                <c:pt idx="4">
                  <c:v>33756</c:v>
                </c:pt>
                <c:pt idx="5">
                  <c:v>126904</c:v>
                </c:pt>
                <c:pt idx="6">
                  <c:v>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1D-4226-8FE7-8244FD404C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prstGeom prst="rect">
          <a:avLst/>
        </a:prstGeom>
        <a:noFill/>
        <a:ln>
          <a:noFill/>
        </a:ln>
      </c:spPr>
    </c:plotArea>
    <c:legend>
      <c:legendPos val="r"/>
      <c:overlay val="0"/>
      <c:spPr>
        <a:prstGeom prst="rect">
          <a:avLst/>
        </a:prstGeom>
        <a:solidFill>
          <a:schemeClr val="lt1">
            <a:lumMod val="95000"/>
            <a:alpha val="39000"/>
          </a:schemeClr>
        </a:solidFill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Relativna poraba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'Poraba energije'!$B$16</c:f>
              <c:strCache>
                <c:ptCount val="1"/>
                <c:pt idx="0">
                  <c:v>OA-B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1"/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energije'!$C$16:$W$16</c:f>
              <c:numCache>
                <c:formatCode>0.000</c:formatCode>
                <c:ptCount val="11"/>
                <c:pt idx="0">
                  <c:v>2.6081322578102504</c:v>
                </c:pt>
                <c:pt idx="1">
                  <c:v>2.5601980638903061</c:v>
                </c:pt>
                <c:pt idx="2">
                  <c:v>2.500482700637376</c:v>
                </c:pt>
                <c:pt idx="3">
                  <c:v>2.3815127783309999</c:v>
                </c:pt>
                <c:pt idx="4">
                  <c:v>2.2253154902561696</c:v>
                </c:pt>
                <c:pt idx="5">
                  <c:v>2.1223585328198511</c:v>
                </c:pt>
                <c:pt idx="6">
                  <c:v>2.07691189512281</c:v>
                </c:pt>
                <c:pt idx="7">
                  <c:v>2.0542322111756612</c:v>
                </c:pt>
                <c:pt idx="8">
                  <c:v>2.1033522927079082</c:v>
                </c:pt>
                <c:pt idx="9">
                  <c:v>2.1515183654539434</c:v>
                </c:pt>
                <c:pt idx="10">
                  <c:v>2.1167662688325835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6-4040-B8C6-C579683FF103}"/>
            </c:ext>
          </c:extLst>
        </c:ser>
        <c:ser>
          <c:idx val="1"/>
          <c:order val="1"/>
          <c:tx>
            <c:strRef>
              <c:f>'Poraba energije'!$B$17</c:f>
              <c:strCache>
                <c:ptCount val="1"/>
                <c:pt idx="0">
                  <c:v>OA-B Hi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energije'!$C$17:$W$17</c:f>
              <c:numCache>
                <c:formatCode>0.000</c:formatCode>
                <c:ptCount val="11"/>
                <c:pt idx="0">
                  <c:v>1.9746231478681791</c:v>
                </c:pt>
                <c:pt idx="1">
                  <c:v>1.9656767660607704</c:v>
                </c:pt>
                <c:pt idx="2">
                  <c:v>1.8911848995598577</c:v>
                </c:pt>
                <c:pt idx="3">
                  <c:v>1.8484412944877833</c:v>
                </c:pt>
                <c:pt idx="4">
                  <c:v>1.7289492137540263</c:v>
                </c:pt>
                <c:pt idx="5">
                  <c:v>1.6338315941832924</c:v>
                </c:pt>
                <c:pt idx="6">
                  <c:v>1.5545301149694524</c:v>
                </c:pt>
                <c:pt idx="7">
                  <c:v>1.4829915896323391</c:v>
                </c:pt>
                <c:pt idx="8">
                  <c:v>1.4208057602546045</c:v>
                </c:pt>
                <c:pt idx="9">
                  <c:v>1.3745930060481815</c:v>
                </c:pt>
                <c:pt idx="10">
                  <c:v>1.3964509791458597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6-4040-B8C6-C579683FF103}"/>
            </c:ext>
          </c:extLst>
        </c:ser>
        <c:ser>
          <c:idx val="2"/>
          <c:order val="2"/>
          <c:tx>
            <c:strRef>
              <c:f>'Poraba energije'!$B$18</c:f>
              <c:strCache>
                <c:ptCount val="1"/>
                <c:pt idx="0">
                  <c:v>OA-B PHEV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energije'!$C$18:$W$18</c:f>
              <c:numCache>
                <c:formatCode>0.000</c:formatCode>
                <c:ptCount val="11"/>
                <c:pt idx="2">
                  <c:v>1.82348631095568</c:v>
                </c:pt>
                <c:pt idx="3">
                  <c:v>1.7556391603933448</c:v>
                </c:pt>
                <c:pt idx="4">
                  <c:v>1.6340836592025452</c:v>
                </c:pt>
                <c:pt idx="5">
                  <c:v>1.5745071150996428</c:v>
                </c:pt>
                <c:pt idx="6">
                  <c:v>1.5379157303645095</c:v>
                </c:pt>
                <c:pt idx="7">
                  <c:v>1.5130987914806693</c:v>
                </c:pt>
                <c:pt idx="8">
                  <c:v>1.4954979955996479</c:v>
                </c:pt>
                <c:pt idx="9">
                  <c:v>1.4841995235200083</c:v>
                </c:pt>
                <c:pt idx="10">
                  <c:v>1.4752326184416391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6-4040-B8C6-C579683FF103}"/>
            </c:ext>
          </c:extLst>
        </c:ser>
        <c:ser>
          <c:idx val="3"/>
          <c:order val="3"/>
          <c:tx>
            <c:strRef>
              <c:f>'Poraba energije'!$B$19</c:f>
              <c:strCache>
                <c:ptCount val="1"/>
                <c:pt idx="0">
                  <c:v>OA-D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4"/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energije'!$C$19:$W$19</c:f>
              <c:numCache>
                <c:formatCode>0.000</c:formatCode>
                <c:ptCount val="11"/>
                <c:pt idx="0">
                  <c:v>2.474300447301458</c:v>
                </c:pt>
                <c:pt idx="1">
                  <c:v>2.4346850461075222</c:v>
                </c:pt>
                <c:pt idx="2">
                  <c:v>2.3734751397392708</c:v>
                </c:pt>
                <c:pt idx="3">
                  <c:v>2.3077709037299243</c:v>
                </c:pt>
                <c:pt idx="4">
                  <c:v>2.2495716534924193</c:v>
                </c:pt>
                <c:pt idx="5">
                  <c:v>2.2039069141456564</c:v>
                </c:pt>
                <c:pt idx="6">
                  <c:v>2.1826268514120395</c:v>
                </c:pt>
                <c:pt idx="7">
                  <c:v>2.1573883897024588</c:v>
                </c:pt>
                <c:pt idx="8">
                  <c:v>2.1940864806746609</c:v>
                </c:pt>
                <c:pt idx="9">
                  <c:v>2.2248155247100749</c:v>
                </c:pt>
                <c:pt idx="10">
                  <c:v>2.2193177381324309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6-4040-B8C6-C579683FF103}"/>
            </c:ext>
          </c:extLst>
        </c:ser>
        <c:ser>
          <c:idx val="4"/>
          <c:order val="4"/>
          <c:tx>
            <c:strRef>
              <c:f>'Poraba energije'!$B$20</c:f>
              <c:strCache>
                <c:ptCount val="1"/>
                <c:pt idx="0">
                  <c:v>OA-D Hi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5"/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energije'!$C$20:$W$20</c:f>
              <c:numCache>
                <c:formatCode>0.000</c:formatCode>
                <c:ptCount val="11"/>
                <c:pt idx="2">
                  <c:v>2.3475303679377948</c:v>
                </c:pt>
                <c:pt idx="3">
                  <c:v>2.3431441963179109</c:v>
                </c:pt>
                <c:pt idx="4">
                  <c:v>2.2423942486721398</c:v>
                </c:pt>
                <c:pt idx="5">
                  <c:v>2.1487698577445937</c:v>
                </c:pt>
                <c:pt idx="6">
                  <c:v>2.0728581743719721</c:v>
                </c:pt>
                <c:pt idx="7">
                  <c:v>2.0144221922346794</c:v>
                </c:pt>
                <c:pt idx="8">
                  <c:v>1.9738303105777677</c:v>
                </c:pt>
                <c:pt idx="9">
                  <c:v>1.9388329079760378</c:v>
                </c:pt>
                <c:pt idx="10">
                  <c:v>1.9390317798522565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C6-4040-B8C6-C579683FF103}"/>
            </c:ext>
          </c:extLst>
        </c:ser>
        <c:ser>
          <c:idx val="5"/>
          <c:order val="5"/>
          <c:tx>
            <c:strRef>
              <c:f>'Poraba energije'!$B$21</c:f>
              <c:strCache>
                <c:ptCount val="1"/>
                <c:pt idx="0">
                  <c:v>OA-D PHEV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6"/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energije'!$C$21:$W$21</c:f>
              <c:numCache>
                <c:formatCode>0.000</c:formatCode>
                <c:ptCount val="11"/>
                <c:pt idx="2">
                  <c:v>2.2274595481452253</c:v>
                </c:pt>
                <c:pt idx="3">
                  <c:v>2.0504830197547204</c:v>
                </c:pt>
                <c:pt idx="4">
                  <c:v>1.8907568679336237</c:v>
                </c:pt>
                <c:pt idx="5">
                  <c:v>1.815644659478117</c:v>
                </c:pt>
                <c:pt idx="6">
                  <c:v>1.764440123485119</c:v>
                </c:pt>
                <c:pt idx="7">
                  <c:v>1.7242360763957365</c:v>
                </c:pt>
                <c:pt idx="8">
                  <c:v>1.70283199251137</c:v>
                </c:pt>
                <c:pt idx="9">
                  <c:v>1.6892439039628568</c:v>
                </c:pt>
                <c:pt idx="10">
                  <c:v>1.6778309966555249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C6-4040-B8C6-C579683FF103}"/>
            </c:ext>
          </c:extLst>
        </c:ser>
        <c:ser>
          <c:idx val="6"/>
          <c:order val="6"/>
          <c:tx>
            <c:strRef>
              <c:f>'Poraba energije'!$B$22</c:f>
              <c:strCache>
                <c:ptCount val="1"/>
                <c:pt idx="0">
                  <c:v>OA-UNP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1">
                  <a:lumMod val="60000"/>
                </a:schemeClr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energije'!$C$22:$W$22</c:f>
              <c:numCache>
                <c:formatCode>0.000</c:formatCode>
                <c:ptCount val="11"/>
                <c:pt idx="0">
                  <c:v>3.2898065978646231</c:v>
                </c:pt>
                <c:pt idx="1">
                  <c:v>3.2898486372221405</c:v>
                </c:pt>
                <c:pt idx="2">
                  <c:v>3.2898566444657709</c:v>
                </c:pt>
                <c:pt idx="3">
                  <c:v>3.2835464516503521</c:v>
                </c:pt>
                <c:pt idx="4">
                  <c:v>3.2392640774441648</c:v>
                </c:pt>
                <c:pt idx="5">
                  <c:v>3.1380969663191576</c:v>
                </c:pt>
                <c:pt idx="6">
                  <c:v>3.0107674301456133</c:v>
                </c:pt>
                <c:pt idx="7">
                  <c:v>2.8955809501263152</c:v>
                </c:pt>
                <c:pt idx="8">
                  <c:v>2.8275179257525824</c:v>
                </c:pt>
                <c:pt idx="9">
                  <c:v>2.8436590951796479</c:v>
                </c:pt>
                <c:pt idx="10">
                  <c:v>2.9426304903112599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C6-4040-B8C6-C579683FF103}"/>
            </c:ext>
          </c:extLst>
        </c:ser>
        <c:ser>
          <c:idx val="7"/>
          <c:order val="7"/>
          <c:tx>
            <c:strRef>
              <c:f>'Poraba energije'!$B$23</c:f>
              <c:strCache>
                <c:ptCount val="1"/>
                <c:pt idx="0">
                  <c:v>OA-SZP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>
                  <a:lumMod val="60000"/>
                </a:schemeClr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energije'!$C$23:$W$23</c:f>
              <c:numCache>
                <c:formatCode>0.000</c:formatCode>
                <c:ptCount val="11"/>
                <c:pt idx="1">
                  <c:v>2.4629048969376202</c:v>
                </c:pt>
                <c:pt idx="2">
                  <c:v>2.4629048969376188</c:v>
                </c:pt>
                <c:pt idx="3">
                  <c:v>2.4302156679203795</c:v>
                </c:pt>
                <c:pt idx="4">
                  <c:v>2.3509288479087984</c:v>
                </c:pt>
                <c:pt idx="5">
                  <c:v>2.2532740805020284</c:v>
                </c:pt>
                <c:pt idx="6">
                  <c:v>2.1048901187278459</c:v>
                </c:pt>
                <c:pt idx="7">
                  <c:v>1.9587063760100718</c:v>
                </c:pt>
                <c:pt idx="8">
                  <c:v>1.8884850277075578</c:v>
                </c:pt>
                <c:pt idx="9">
                  <c:v>1.8514754886754512</c:v>
                </c:pt>
                <c:pt idx="10">
                  <c:v>1.897722166645665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C6-4040-B8C6-C579683FF103}"/>
            </c:ext>
          </c:extLst>
        </c:ser>
        <c:ser>
          <c:idx val="8"/>
          <c:order val="8"/>
          <c:tx>
            <c:strRef>
              <c:f>'Poraba energije'!$B$24</c:f>
              <c:strCache>
                <c:ptCount val="1"/>
                <c:pt idx="0">
                  <c:v>OA-BEV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3">
                  <a:lumMod val="60000"/>
                </a:schemeClr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energije'!$C$24:$W$24</c:f>
              <c:numCache>
                <c:formatCode>0.000</c:formatCode>
                <c:ptCount val="11"/>
                <c:pt idx="1">
                  <c:v>0.495585798816568</c:v>
                </c:pt>
                <c:pt idx="2">
                  <c:v>0.49558579881656811</c:v>
                </c:pt>
                <c:pt idx="3">
                  <c:v>0.50492491237905579</c:v>
                </c:pt>
                <c:pt idx="4">
                  <c:v>0.52835475162982415</c:v>
                </c:pt>
                <c:pt idx="5">
                  <c:v>0.55253703993422698</c:v>
                </c:pt>
                <c:pt idx="6">
                  <c:v>0.53869571461524779</c:v>
                </c:pt>
                <c:pt idx="7">
                  <c:v>0.49362416569031686</c:v>
                </c:pt>
                <c:pt idx="8">
                  <c:v>0.46107143880937157</c:v>
                </c:pt>
                <c:pt idx="9">
                  <c:v>0.4413303353922049</c:v>
                </c:pt>
                <c:pt idx="10">
                  <c:v>0.43187253145739252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C6-4040-B8C6-C579683FF103}"/>
            </c:ext>
          </c:extLst>
        </c:ser>
        <c:ser>
          <c:idx val="9"/>
          <c:order val="9"/>
          <c:tx>
            <c:strRef>
              <c:f>'Poraba energije'!$B$25</c:f>
              <c:strCache>
                <c:ptCount val="1"/>
                <c:pt idx="0">
                  <c:v>OA-H2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4">
                  <a:lumMod val="60000"/>
                </a:schemeClr>
              </a:solidFill>
              <a:round/>
            </a:ln>
          </c:spPr>
          <c:marker>
            <c:symbol val="none"/>
          </c:marker>
          <c:cat>
            <c:numRef>
              <c:f>'Poraba energije'!$C$15:$W$15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energije'!$C$25:$W$25</c:f>
              <c:numCache>
                <c:formatCode>0.000</c:formatCode>
                <c:ptCount val="11"/>
                <c:pt idx="5">
                  <c:v>0.76542269678054953</c:v>
                </c:pt>
                <c:pt idx="6">
                  <c:v>0.73837440606062354</c:v>
                </c:pt>
                <c:pt idx="7">
                  <c:v>0.71438581648610966</c:v>
                </c:pt>
                <c:pt idx="8">
                  <c:v>0.68999313451015032</c:v>
                </c:pt>
                <c:pt idx="9">
                  <c:v>0.66328592911345607</c:v>
                </c:pt>
                <c:pt idx="10">
                  <c:v>0.64415579610870544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1C6-4040-B8C6-C579683FF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8277824"/>
        <c:axId val="96494224"/>
      </c:lineChart>
      <c:catAx>
        <c:axId val="19782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494224"/>
        <c:crosses val="autoZero"/>
        <c:auto val="1"/>
        <c:lblAlgn val="ctr"/>
        <c:lblOffset val="100"/>
        <c:noMultiLvlLbl val="0"/>
      </c:catAx>
      <c:valAx>
        <c:axId val="96494224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.00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78277824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Prevoženi km/OA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'Emisije CO2'!$B$2</c:f>
              <c:strCache>
                <c:ptCount val="1"/>
                <c:pt idx="0">
                  <c:v>OA-B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CO2'!$C$2:$W$2</c:f>
              <c:numCache>
                <c:formatCode>#,##0</c:formatCode>
                <c:ptCount val="11"/>
                <c:pt idx="0">
                  <c:v>744517</c:v>
                </c:pt>
                <c:pt idx="1">
                  <c:v>704334</c:v>
                </c:pt>
                <c:pt idx="2">
                  <c:v>624429</c:v>
                </c:pt>
                <c:pt idx="3">
                  <c:v>601235</c:v>
                </c:pt>
                <c:pt idx="4">
                  <c:v>548145</c:v>
                </c:pt>
                <c:pt idx="5">
                  <c:v>437152</c:v>
                </c:pt>
                <c:pt idx="6">
                  <c:v>286710</c:v>
                </c:pt>
                <c:pt idx="7">
                  <c:v>134267</c:v>
                </c:pt>
                <c:pt idx="8">
                  <c:v>36196</c:v>
                </c:pt>
                <c:pt idx="9">
                  <c:v>11240</c:v>
                </c:pt>
                <c:pt idx="10">
                  <c:v>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3-428B-AF6E-B9D18AD2261E}"/>
            </c:ext>
          </c:extLst>
        </c:ser>
        <c:ser>
          <c:idx val="1"/>
          <c:order val="1"/>
          <c:tx>
            <c:strRef>
              <c:f>'Emisije CO2'!$B$3</c:f>
              <c:strCache>
                <c:ptCount val="1"/>
                <c:pt idx="0">
                  <c:v>OA-B Hi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CO2'!$C$3:$W$3</c:f>
              <c:numCache>
                <c:formatCode>#,##0</c:formatCode>
                <c:ptCount val="11"/>
                <c:pt idx="0">
                  <c:v>72</c:v>
                </c:pt>
                <c:pt idx="1">
                  <c:v>510</c:v>
                </c:pt>
                <c:pt idx="2">
                  <c:v>1235</c:v>
                </c:pt>
                <c:pt idx="3">
                  <c:v>10703</c:v>
                </c:pt>
                <c:pt idx="4">
                  <c:v>48980</c:v>
                </c:pt>
                <c:pt idx="5">
                  <c:v>87849</c:v>
                </c:pt>
                <c:pt idx="6">
                  <c:v>99607</c:v>
                </c:pt>
                <c:pt idx="7">
                  <c:v>80665</c:v>
                </c:pt>
                <c:pt idx="8">
                  <c:v>47146</c:v>
                </c:pt>
                <c:pt idx="9">
                  <c:v>21773</c:v>
                </c:pt>
                <c:pt idx="10">
                  <c:v>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3-428B-AF6E-B9D18AD2261E}"/>
            </c:ext>
          </c:extLst>
        </c:ser>
        <c:ser>
          <c:idx val="2"/>
          <c:order val="2"/>
          <c:tx>
            <c:strRef>
              <c:f>'Emisije CO2'!$B$4</c:f>
              <c:strCache>
                <c:ptCount val="1"/>
                <c:pt idx="0">
                  <c:v>OA-B PHEV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CO2'!$C$4:$W$4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1580</c:v>
                </c:pt>
                <c:pt idx="4">
                  <c:v>17895</c:v>
                </c:pt>
                <c:pt idx="5">
                  <c:v>67247</c:v>
                </c:pt>
                <c:pt idx="6">
                  <c:v>124590</c:v>
                </c:pt>
                <c:pt idx="7">
                  <c:v>159685</c:v>
                </c:pt>
                <c:pt idx="8">
                  <c:v>132986</c:v>
                </c:pt>
                <c:pt idx="9">
                  <c:v>81754</c:v>
                </c:pt>
                <c:pt idx="10">
                  <c:v>37164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3-428B-AF6E-B9D18AD2261E}"/>
            </c:ext>
          </c:extLst>
        </c:ser>
        <c:ser>
          <c:idx val="3"/>
          <c:order val="3"/>
          <c:tx>
            <c:strRef>
              <c:f>'Emisije CO2'!$B$5</c:f>
              <c:strCache>
                <c:ptCount val="1"/>
                <c:pt idx="0">
                  <c:v>OA-D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CO2'!$C$5:$W$5</c:f>
              <c:numCache>
                <c:formatCode>#,##0</c:formatCode>
                <c:ptCount val="11"/>
                <c:pt idx="0">
                  <c:v>191641</c:v>
                </c:pt>
                <c:pt idx="1">
                  <c:v>375846</c:v>
                </c:pt>
                <c:pt idx="2">
                  <c:v>499050</c:v>
                </c:pt>
                <c:pt idx="3">
                  <c:v>658034</c:v>
                </c:pt>
                <c:pt idx="4">
                  <c:v>667120</c:v>
                </c:pt>
                <c:pt idx="5">
                  <c:v>545563</c:v>
                </c:pt>
                <c:pt idx="6">
                  <c:v>359982</c:v>
                </c:pt>
                <c:pt idx="7">
                  <c:v>110738</c:v>
                </c:pt>
                <c:pt idx="8">
                  <c:v>34314</c:v>
                </c:pt>
                <c:pt idx="9">
                  <c:v>13118</c:v>
                </c:pt>
                <c:pt idx="10">
                  <c:v>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13-428B-AF6E-B9D18AD2261E}"/>
            </c:ext>
          </c:extLst>
        </c:ser>
        <c:ser>
          <c:idx val="4"/>
          <c:order val="4"/>
          <c:tx>
            <c:strRef>
              <c:f>'Emisije CO2'!$B$6</c:f>
              <c:strCache>
                <c:ptCount val="1"/>
                <c:pt idx="0">
                  <c:v>OA-D Hi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CO2'!$C$6:$W$6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66</c:v>
                </c:pt>
                <c:pt idx="3">
                  <c:v>684</c:v>
                </c:pt>
                <c:pt idx="4">
                  <c:v>4714</c:v>
                </c:pt>
                <c:pt idx="5">
                  <c:v>10076</c:v>
                </c:pt>
                <c:pt idx="6">
                  <c:v>13063</c:v>
                </c:pt>
                <c:pt idx="7">
                  <c:v>12340</c:v>
                </c:pt>
                <c:pt idx="8">
                  <c:v>8792</c:v>
                </c:pt>
                <c:pt idx="9">
                  <c:v>5129</c:v>
                </c:pt>
                <c:pt idx="10">
                  <c:v>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3-428B-AF6E-B9D18AD2261E}"/>
            </c:ext>
          </c:extLst>
        </c:ser>
        <c:ser>
          <c:idx val="5"/>
          <c:order val="5"/>
          <c:tx>
            <c:strRef>
              <c:f>'Emisije CO2'!$B$7</c:f>
              <c:strCache>
                <c:ptCount val="1"/>
                <c:pt idx="0">
                  <c:v>OA-D PHEV</c:v>
                </c:pt>
              </c:strCache>
            </c:strRef>
          </c:tx>
          <c:spPr>
            <a:prstGeom prst="rect">
              <a:avLst/>
            </a:prstGeom>
            <a:solidFill>
              <a:schemeClr val="accent6"/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CO2'!$C$7:$W$7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78</c:v>
                </c:pt>
                <c:pt idx="4">
                  <c:v>1863</c:v>
                </c:pt>
                <c:pt idx="5">
                  <c:v>8793</c:v>
                </c:pt>
                <c:pt idx="6">
                  <c:v>18696</c:v>
                </c:pt>
                <c:pt idx="7">
                  <c:v>26694</c:v>
                </c:pt>
                <c:pt idx="8">
                  <c:v>24688</c:v>
                </c:pt>
                <c:pt idx="9">
                  <c:v>17741</c:v>
                </c:pt>
                <c:pt idx="10">
                  <c:v>10165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13-428B-AF6E-B9D18AD2261E}"/>
            </c:ext>
          </c:extLst>
        </c:ser>
        <c:ser>
          <c:idx val="6"/>
          <c:order val="6"/>
          <c:tx>
            <c:strRef>
              <c:f>'Emisije CO2'!$B$8</c:f>
              <c:strCache>
                <c:ptCount val="1"/>
                <c:pt idx="0">
                  <c:v>OA-UNP</c:v>
                </c:pt>
              </c:strCache>
            </c:strRef>
          </c:tx>
          <c:spPr>
            <a:prstGeom prst="rect">
              <a:avLst/>
            </a:prstGeom>
            <a:solidFill>
              <a:schemeClr val="accent1">
                <a:lumMod val="60000"/>
              </a:schemeClr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CO2'!$C$8:$W$8</c:f>
              <c:numCache>
                <c:formatCode>#,##0</c:formatCode>
                <c:ptCount val="11"/>
                <c:pt idx="0">
                  <c:v>275</c:v>
                </c:pt>
                <c:pt idx="1">
                  <c:v>2221</c:v>
                </c:pt>
                <c:pt idx="2">
                  <c:v>8629</c:v>
                </c:pt>
                <c:pt idx="3">
                  <c:v>11174</c:v>
                </c:pt>
                <c:pt idx="4">
                  <c:v>10974</c:v>
                </c:pt>
                <c:pt idx="5">
                  <c:v>10590</c:v>
                </c:pt>
                <c:pt idx="6">
                  <c:v>8896</c:v>
                </c:pt>
                <c:pt idx="7">
                  <c:v>5599</c:v>
                </c:pt>
                <c:pt idx="8">
                  <c:v>2822</c:v>
                </c:pt>
                <c:pt idx="9">
                  <c:v>1448</c:v>
                </c:pt>
                <c:pt idx="10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13-428B-AF6E-B9D18AD2261E}"/>
            </c:ext>
          </c:extLst>
        </c:ser>
        <c:ser>
          <c:idx val="7"/>
          <c:order val="7"/>
          <c:tx>
            <c:strRef>
              <c:f>'Emisije CO2'!$B$9</c:f>
              <c:strCache>
                <c:ptCount val="1"/>
                <c:pt idx="0">
                  <c:v>OA-SZP</c:v>
                </c:pt>
              </c:strCache>
            </c:strRef>
          </c:tx>
          <c:spPr>
            <a:prstGeom prst="rect">
              <a:avLst/>
            </a:prstGeom>
            <a:solidFill>
              <a:schemeClr val="accent2">
                <a:lumMod val="60000"/>
              </a:schemeClr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CO2'!$C$9:$W$9</c:f>
              <c:numCache>
                <c:formatCode>#,##0</c:formatCode>
                <c:ptCount val="11"/>
                <c:pt idx="0">
                  <c:v>0</c:v>
                </c:pt>
                <c:pt idx="1">
                  <c:v>14</c:v>
                </c:pt>
                <c:pt idx="2">
                  <c:v>148</c:v>
                </c:pt>
                <c:pt idx="3">
                  <c:v>475</c:v>
                </c:pt>
                <c:pt idx="4">
                  <c:v>825</c:v>
                </c:pt>
                <c:pt idx="5">
                  <c:v>1015</c:v>
                </c:pt>
                <c:pt idx="6">
                  <c:v>1113</c:v>
                </c:pt>
                <c:pt idx="7">
                  <c:v>981</c:v>
                </c:pt>
                <c:pt idx="8">
                  <c:v>664</c:v>
                </c:pt>
                <c:pt idx="9">
                  <c:v>384</c:v>
                </c:pt>
                <c:pt idx="10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13-428B-AF6E-B9D18AD2261E}"/>
            </c:ext>
          </c:extLst>
        </c:ser>
        <c:ser>
          <c:idx val="8"/>
          <c:order val="8"/>
          <c:tx>
            <c:strRef>
              <c:f>'Emisije CO2'!$B$10</c:f>
              <c:strCache>
                <c:ptCount val="1"/>
                <c:pt idx="0">
                  <c:v>OA-BEV</c:v>
                </c:pt>
              </c:strCache>
            </c:strRef>
          </c:tx>
          <c:spPr>
            <a:prstGeom prst="rect">
              <a:avLst/>
            </a:prstGeom>
            <a:solidFill>
              <a:schemeClr val="accent3">
                <a:lumMod val="60000"/>
              </a:schemeClr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CO2'!$C$10:$W$10</c:f>
              <c:numCache>
                <c:formatCode>#,##0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244</c:v>
                </c:pt>
                <c:pt idx="3">
                  <c:v>3243</c:v>
                </c:pt>
                <c:pt idx="4">
                  <c:v>21923</c:v>
                </c:pt>
                <c:pt idx="5">
                  <c:v>140639</c:v>
                </c:pt>
                <c:pt idx="6">
                  <c:v>366566</c:v>
                </c:pt>
                <c:pt idx="7">
                  <c:v>700694</c:v>
                </c:pt>
                <c:pt idx="8">
                  <c:v>874990</c:v>
                </c:pt>
                <c:pt idx="9">
                  <c:v>905280</c:v>
                </c:pt>
                <c:pt idx="10">
                  <c:v>877254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13-428B-AF6E-B9D18AD2261E}"/>
            </c:ext>
          </c:extLst>
        </c:ser>
        <c:ser>
          <c:idx val="9"/>
          <c:order val="9"/>
          <c:tx>
            <c:strRef>
              <c:f>'Emisije CO2'!$B$11</c:f>
              <c:strCache>
                <c:ptCount val="1"/>
                <c:pt idx="0">
                  <c:v>OA-H2</c:v>
                </c:pt>
              </c:strCache>
            </c:strRef>
          </c:tx>
          <c:spPr>
            <a:prstGeom prst="rect">
              <a:avLst/>
            </a:prstGeom>
            <a:solidFill>
              <a:schemeClr val="accent4">
                <a:lumMod val="60000"/>
              </a:schemeClr>
            </a:solidFill>
            <a:ln>
              <a:noFill/>
            </a:ln>
          </c:spPr>
          <c:cat>
            <c:numRef>
              <c:f>'Emisije CO2'!$C$1:$W$1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'Emisije CO2'!$C$11:$W$11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3792</c:v>
                </c:pt>
                <c:pt idx="6">
                  <c:v>13822</c:v>
                </c:pt>
                <c:pt idx="7">
                  <c:v>33033</c:v>
                </c:pt>
                <c:pt idx="8">
                  <c:v>59900</c:v>
                </c:pt>
                <c:pt idx="9">
                  <c:v>99777</c:v>
                </c:pt>
                <c:pt idx="10">
                  <c:v>145658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13-428B-AF6E-B9D18AD22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93664"/>
        <c:axId val="96492560"/>
      </c:areaChart>
      <c:catAx>
        <c:axId val="641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492560"/>
        <c:crosses val="autoZero"/>
        <c:auto val="1"/>
        <c:lblAlgn val="ctr"/>
        <c:lblOffset val="100"/>
        <c:noMultiLvlLbl val="0"/>
      </c:catAx>
      <c:valAx>
        <c:axId val="96492560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93664"/>
        <c:crosses val="autoZero"/>
        <c:crossBetween val="midCat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1" i="0"/>
              <a:t>Specifična poraba goriva [kWh/km]</a:t>
            </a:r>
            <a:endParaRPr lang="sl-SI"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'Poraba energije'!$Z$66</c:f>
              <c:strCache>
                <c:ptCount val="1"/>
                <c:pt idx="0">
                  <c:v>2040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DA1-4B4F-BD06-1330A759C3C6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DA1-4B4F-BD06-1330A759C3C6}"/>
              </c:ext>
            </c:extLst>
          </c:dPt>
          <c:dPt>
            <c:idx val="3"/>
            <c:invertIfNegative val="0"/>
            <c:bubble3D val="0"/>
            <c:spPr>
              <a:prstGeom prst="rect">
                <a:avLst/>
              </a:prstGeom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DA1-4B4F-BD06-1330A759C3C6}"/>
              </c:ext>
            </c:extLst>
          </c:dPt>
          <c:dPt>
            <c:idx val="4"/>
            <c:invertIfNegative val="0"/>
            <c:bubble3D val="0"/>
            <c:spPr>
              <a:prstGeom prst="rect">
                <a:avLst/>
              </a:prstGeom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DA1-4B4F-BD06-1330A759C3C6}"/>
              </c:ext>
            </c:extLst>
          </c:dPt>
          <c:dPt>
            <c:idx val="5"/>
            <c:invertIfNegative val="0"/>
            <c:bubble3D val="0"/>
            <c:spPr>
              <a:prstGeom prst="rect">
                <a:avLst/>
              </a:prstGeom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DA1-4B4F-BD06-1330A759C3C6}"/>
              </c:ext>
            </c:extLst>
          </c:dPt>
          <c:dPt>
            <c:idx val="6"/>
            <c:invertIfNegative val="0"/>
            <c:bubble3D val="0"/>
            <c:spPr>
              <a:prstGeom prst="rect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DDA1-4B4F-BD06-1330A759C3C6}"/>
              </c:ext>
            </c:extLst>
          </c:dPt>
          <c:dLbls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'Poraba energije'!$Y$67:$Y$73</c:f>
              <c:strCache>
                <c:ptCount val="7"/>
                <c:pt idx="0">
                  <c:v>bencin</c:v>
                </c:pt>
                <c:pt idx="1">
                  <c:v>dizel</c:v>
                </c:pt>
                <c:pt idx="2">
                  <c:v>plin</c:v>
                </c:pt>
                <c:pt idx="3">
                  <c:v>hibrid</c:v>
                </c:pt>
                <c:pt idx="4">
                  <c:v>PHEV</c:v>
                </c:pt>
                <c:pt idx="5">
                  <c:v>BEV</c:v>
                </c:pt>
                <c:pt idx="6">
                  <c:v>HEV</c:v>
                </c:pt>
              </c:strCache>
            </c:strRef>
          </c:cat>
          <c:val>
            <c:numRef>
              <c:f>'Poraba energije'!$Z$67:$Z$73</c:f>
              <c:numCache>
                <c:formatCode>0.00</c:formatCode>
                <c:ptCount val="7"/>
                <c:pt idx="0">
                  <c:v>0.57062005865990584</c:v>
                </c:pt>
                <c:pt idx="1">
                  <c:v>0.59927455269512742</c:v>
                </c:pt>
                <c:pt idx="2">
                  <c:v>0.67420657307449816</c:v>
                </c:pt>
                <c:pt idx="3">
                  <c:v>0.48575191414819702</c:v>
                </c:pt>
                <c:pt idx="4">
                  <c:v>0.44962984276061191</c:v>
                </c:pt>
                <c:pt idx="5">
                  <c:v>0.1371178238028658</c:v>
                </c:pt>
                <c:pt idx="6">
                  <c:v>0.1984405045794749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A1-4B4F-BD06-1330A759C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245536560"/>
        <c:axId val="1253020336"/>
      </c:barChart>
      <c:lineChart>
        <c:grouping val="standard"/>
        <c:varyColors val="0"/>
        <c:ser>
          <c:idx val="1"/>
          <c:order val="1"/>
          <c:tx>
            <c:strRef>
              <c:f>'Poraba energije'!$AA$66</c:f>
              <c:strCache>
                <c:ptCount val="1"/>
                <c:pt idx="0">
                  <c:v>povprečje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</c:spPr>
          <c:marker>
            <c:symbol val="none"/>
          </c:marker>
          <c:cat>
            <c:strRef>
              <c:f>'Poraba energije'!$Y$67:$Y$73</c:f>
              <c:strCache>
                <c:ptCount val="7"/>
                <c:pt idx="0">
                  <c:v>bencin</c:v>
                </c:pt>
                <c:pt idx="1">
                  <c:v>dizel</c:v>
                </c:pt>
                <c:pt idx="2">
                  <c:v>plin</c:v>
                </c:pt>
                <c:pt idx="3">
                  <c:v>hibrid</c:v>
                </c:pt>
                <c:pt idx="4">
                  <c:v>PHEV</c:v>
                </c:pt>
                <c:pt idx="5">
                  <c:v>BEV</c:v>
                </c:pt>
                <c:pt idx="6">
                  <c:v>HEV</c:v>
                </c:pt>
              </c:strCache>
            </c:strRef>
          </c:cat>
          <c:val>
            <c:numRef>
              <c:f>'Poraba energije'!$AA$67:$AA$73</c:f>
              <c:numCache>
                <c:formatCode>0.00</c:formatCode>
                <c:ptCount val="7"/>
                <c:pt idx="0">
                  <c:v>0.29310107881269937</c:v>
                </c:pt>
                <c:pt idx="1">
                  <c:v>0.29310107881269937</c:v>
                </c:pt>
                <c:pt idx="2">
                  <c:v>0.29310107881269937</c:v>
                </c:pt>
                <c:pt idx="3">
                  <c:v>0.29310107881269937</c:v>
                </c:pt>
                <c:pt idx="4">
                  <c:v>0.29310107881269937</c:v>
                </c:pt>
                <c:pt idx="5">
                  <c:v>0.29310107881269937</c:v>
                </c:pt>
                <c:pt idx="6">
                  <c:v>0.29310107881269937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DA1-4B4F-BD06-1330A759C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36560"/>
        <c:axId val="1253020336"/>
      </c:lineChart>
      <c:catAx>
        <c:axId val="12455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3020336"/>
        <c:crosses val="autoZero"/>
        <c:auto val="1"/>
        <c:lblAlgn val="ctr"/>
        <c:lblOffset val="100"/>
        <c:noMultiLvlLbl val="0"/>
      </c:catAx>
      <c:valAx>
        <c:axId val="1253020336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5536560"/>
        <c:crosses val="autoZero"/>
        <c:crossBetween val="between"/>
        <c:majorUnit val="1"/>
      </c:valAx>
      <c:spPr>
        <a:prstGeom prst="rect">
          <a:avLst/>
        </a:prstGeom>
        <a:noFill/>
        <a:ln>
          <a:noFill/>
        </a:ln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Skupna poraba energije [GWh]</a:t>
            </a:r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FF-492C-BE72-4FB1F1218410}"/>
              </c:ext>
            </c:extLst>
          </c:dPt>
          <c:dPt>
            <c:idx val="1"/>
            <c:bubble3D val="0"/>
            <c:spPr>
              <a:prstGeom prst="rect">
                <a:avLst/>
              </a:prstGeom>
              <a:solidFill>
                <a:schemeClr val="tx1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FF-492C-BE72-4FB1F1218410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rgbClr val="FF0000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7FF-492C-BE72-4FB1F1218410}"/>
              </c:ext>
            </c:extLst>
          </c:dPt>
          <c:dPt>
            <c:idx val="3"/>
            <c:bubble3D val="0"/>
            <c:spPr>
              <a:prstGeom prst="rect">
                <a:avLst/>
              </a:prstGeom>
              <a:solidFill>
                <a:schemeClr val="accent4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7FF-492C-BE72-4FB1F1218410}"/>
              </c:ext>
            </c:extLst>
          </c:dPt>
          <c:dPt>
            <c:idx val="4"/>
            <c:bubble3D val="0"/>
            <c:spPr>
              <a:prstGeom prst="rect">
                <a:avLst/>
              </a:prstGeom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7FF-492C-BE72-4FB1F1218410}"/>
              </c:ext>
            </c:extLst>
          </c:dPt>
          <c:dPt>
            <c:idx val="5"/>
            <c:bubble3D val="0"/>
            <c:spPr>
              <a:prstGeom prst="rect">
                <a:avLst/>
              </a:prstGeom>
              <a:solidFill>
                <a:srgbClr val="92D050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7FF-492C-BE72-4FB1F1218410}"/>
              </c:ext>
            </c:extLst>
          </c:dPt>
          <c:dPt>
            <c:idx val="6"/>
            <c:bubble3D val="0"/>
            <c:spPr>
              <a:prstGeom prst="rect">
                <a:avLst/>
              </a:prstGeom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7FF-492C-BE72-4FB1F1218410}"/>
              </c:ext>
            </c:extLst>
          </c:dPt>
          <c:dLbls>
            <c:numFmt formatCode="#,##0.00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prstGeom prst="rect">
                  <a:avLst/>
                </a:prstGeom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'Poraba energije'!$AC$67:$AC$73</c:f>
              <c:strCache>
                <c:ptCount val="7"/>
                <c:pt idx="0">
                  <c:v>bencin</c:v>
                </c:pt>
                <c:pt idx="1">
                  <c:v>dizel</c:v>
                </c:pt>
                <c:pt idx="2">
                  <c:v>plin</c:v>
                </c:pt>
                <c:pt idx="3">
                  <c:v>hibrid</c:v>
                </c:pt>
                <c:pt idx="4">
                  <c:v>PHEV</c:v>
                </c:pt>
                <c:pt idx="5">
                  <c:v>BEV</c:v>
                </c:pt>
                <c:pt idx="6">
                  <c:v>HEV</c:v>
                </c:pt>
              </c:strCache>
            </c:strRef>
          </c:cat>
          <c:val>
            <c:numRef>
              <c:f>'Poraba energije'!$AD$67:$AD$73</c:f>
              <c:numCache>
                <c:formatCode>General</c:formatCode>
                <c:ptCount val="7"/>
                <c:pt idx="0">
                  <c:v>245.04606228720556</c:v>
                </c:pt>
                <c:pt idx="1">
                  <c:v>212.25643057355236</c:v>
                </c:pt>
                <c:pt idx="2">
                  <c:v>14.192533791950801</c:v>
                </c:pt>
                <c:pt idx="3">
                  <c:v>144.49421257217</c:v>
                </c:pt>
                <c:pt idx="4">
                  <c:v>268.03826980953261</c:v>
                </c:pt>
                <c:pt idx="5">
                  <c:v>307.29813350778102</c:v>
                </c:pt>
                <c:pt idx="6">
                  <c:v>20.967180056956309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FF-492C-BE72-4FB1F12184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prstGeom prst="rect">
          <a:avLst/>
        </a:prstGeom>
        <a:noFill/>
        <a:ln>
          <a:noFill/>
        </a:ln>
      </c:spPr>
    </c:plotArea>
    <c:legend>
      <c:legendPos val="r"/>
      <c:overlay val="0"/>
      <c:spPr>
        <a:prstGeom prst="rect">
          <a:avLst/>
        </a:prstGeom>
        <a:solidFill>
          <a:schemeClr val="lt1">
            <a:lumMod val="95000"/>
            <a:alpha val="39000"/>
          </a:schemeClr>
        </a:solidFill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1" i="0"/>
              <a:t>Specifične emisije CO2 [g/km]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'Emisije CO2'!$Z$42</c:f>
              <c:strCache>
                <c:ptCount val="1"/>
                <c:pt idx="0">
                  <c:v>2040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682-4A75-A37E-B6FD60D7CDCE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682-4A75-A37E-B6FD60D7CDCE}"/>
              </c:ext>
            </c:extLst>
          </c:dPt>
          <c:dPt>
            <c:idx val="3"/>
            <c:invertIfNegative val="0"/>
            <c:bubble3D val="0"/>
            <c:spPr>
              <a:prstGeom prst="rect">
                <a:avLst/>
              </a:prstGeom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682-4A75-A37E-B6FD60D7CDCE}"/>
              </c:ext>
            </c:extLst>
          </c:dPt>
          <c:dPt>
            <c:idx val="4"/>
            <c:invertIfNegative val="0"/>
            <c:bubble3D val="0"/>
            <c:spPr>
              <a:prstGeom prst="rect">
                <a:avLst/>
              </a:prstGeom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682-4A75-A37E-B6FD60D7CDCE}"/>
              </c:ext>
            </c:extLst>
          </c:dPt>
          <c:dLbls>
            <c:dLbl>
              <c:idx val="5"/>
              <c:numFmt formatCode="#,##0.0" sourceLinked="0"/>
              <c:spPr>
                <a:noFill/>
                <a:ln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5682-4A75-A37E-B6FD60D7CDCE}"/>
                </c:ext>
              </c:extLst>
            </c:dLbl>
            <c:dLbl>
              <c:idx val="6"/>
              <c:numFmt formatCode="#,##0.0" sourceLinked="0"/>
              <c:spPr>
                <a:noFill/>
                <a:ln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5682-4A75-A37E-B6FD60D7CDCE}"/>
                </c:ext>
              </c:extLst>
            </c:dLbl>
            <c:numFmt formatCode="#,##0.0" sourceLinked="0"/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'Emisije CO2'!$Y$43:$Y$49</c:f>
              <c:strCache>
                <c:ptCount val="7"/>
                <c:pt idx="0">
                  <c:v>bencin</c:v>
                </c:pt>
                <c:pt idx="1">
                  <c:v>dizel</c:v>
                </c:pt>
                <c:pt idx="2">
                  <c:v>plin</c:v>
                </c:pt>
                <c:pt idx="3">
                  <c:v>hibrid</c:v>
                </c:pt>
                <c:pt idx="4">
                  <c:v>PHEV</c:v>
                </c:pt>
                <c:pt idx="5">
                  <c:v>BEV</c:v>
                </c:pt>
                <c:pt idx="6">
                  <c:v>HEV</c:v>
                </c:pt>
              </c:strCache>
            </c:strRef>
          </c:cat>
          <c:val>
            <c:numRef>
              <c:f>'Emisije CO2'!$Z$43:$Z$49</c:f>
              <c:numCache>
                <c:formatCode>0.00</c:formatCode>
                <c:ptCount val="7"/>
                <c:pt idx="0">
                  <c:v>148.97282626085752</c:v>
                </c:pt>
                <c:pt idx="1">
                  <c:v>160.28484162930241</c:v>
                </c:pt>
                <c:pt idx="2">
                  <c:v>146.52301574431905</c:v>
                </c:pt>
                <c:pt idx="3">
                  <c:v>128.60476984040548</c:v>
                </c:pt>
                <c:pt idx="4">
                  <c:v>118.9166551586728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82-4A75-A37E-B6FD60D7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245536560"/>
        <c:axId val="1253020336"/>
      </c:barChart>
      <c:lineChart>
        <c:grouping val="standard"/>
        <c:varyColors val="0"/>
        <c:ser>
          <c:idx val="1"/>
          <c:order val="1"/>
          <c:tx>
            <c:strRef>
              <c:f>'Emisije CO2'!$AA$42</c:f>
              <c:strCache>
                <c:ptCount val="1"/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</c:spPr>
          <c:marker>
            <c:symbol val="none"/>
          </c:marker>
          <c:cat>
            <c:strRef>
              <c:f>'Emisije CO2'!$Y$43:$Y$49</c:f>
              <c:strCache>
                <c:ptCount val="7"/>
                <c:pt idx="0">
                  <c:v>bencin</c:v>
                </c:pt>
                <c:pt idx="1">
                  <c:v>dizel</c:v>
                </c:pt>
                <c:pt idx="2">
                  <c:v>plin</c:v>
                </c:pt>
                <c:pt idx="3">
                  <c:v>hibrid</c:v>
                </c:pt>
                <c:pt idx="4">
                  <c:v>PHEV</c:v>
                </c:pt>
                <c:pt idx="5">
                  <c:v>BEV</c:v>
                </c:pt>
                <c:pt idx="6">
                  <c:v>HEV</c:v>
                </c:pt>
              </c:strCache>
            </c:strRef>
          </c:cat>
          <c:val>
            <c:numRef>
              <c:f>'Emisije CO2'!$AA$43:$AA$49</c:f>
              <c:numCache>
                <c:formatCode>0.00</c:formatCode>
                <c:ptCount val="7"/>
                <c:pt idx="0">
                  <c:v>57.595131628735331</c:v>
                </c:pt>
                <c:pt idx="1">
                  <c:v>57.595131628735331</c:v>
                </c:pt>
                <c:pt idx="2">
                  <c:v>57.595131628735331</c:v>
                </c:pt>
                <c:pt idx="3">
                  <c:v>57.595131628735331</c:v>
                </c:pt>
                <c:pt idx="4">
                  <c:v>57.595131628735331</c:v>
                </c:pt>
                <c:pt idx="5">
                  <c:v>57.595131628735331</c:v>
                </c:pt>
                <c:pt idx="6">
                  <c:v>57.595131628735331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682-4A75-A37E-B6FD60D7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36560"/>
        <c:axId val="1253020336"/>
      </c:lineChart>
      <c:catAx>
        <c:axId val="12455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3020336"/>
        <c:crosses val="autoZero"/>
        <c:auto val="1"/>
        <c:lblAlgn val="ctr"/>
        <c:lblOffset val="100"/>
        <c:noMultiLvlLbl val="0"/>
      </c:catAx>
      <c:valAx>
        <c:axId val="1253020336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5536560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Skupne emisije CO2 [t]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8F-4415-B03A-70A763E3A4C8}"/>
              </c:ext>
            </c:extLst>
          </c:dPt>
          <c:dPt>
            <c:idx val="1"/>
            <c:bubble3D val="0"/>
            <c:spPr>
              <a:prstGeom prst="rect">
                <a:avLst/>
              </a:prstGeom>
              <a:solidFill>
                <a:schemeClr val="tx1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8F-4415-B03A-70A763E3A4C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rgbClr val="FF0000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8F-4415-B03A-70A763E3A4C8}"/>
              </c:ext>
            </c:extLst>
          </c:dPt>
          <c:dPt>
            <c:idx val="3"/>
            <c:bubble3D val="0"/>
            <c:spPr>
              <a:prstGeom prst="rect">
                <a:avLst/>
              </a:prstGeom>
              <a:solidFill>
                <a:schemeClr val="accent4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E8F-4415-B03A-70A763E3A4C8}"/>
              </c:ext>
            </c:extLst>
          </c:dPt>
          <c:dPt>
            <c:idx val="4"/>
            <c:bubble3D val="0"/>
            <c:spPr>
              <a:prstGeom prst="rect">
                <a:avLst/>
              </a:prstGeom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E8F-4415-B03A-70A763E3A4C8}"/>
              </c:ext>
            </c:extLst>
          </c:dPt>
          <c:dPt>
            <c:idx val="5"/>
            <c:bubble3D val="0"/>
            <c:spPr>
              <a:prstGeom prst="rect">
                <a:avLst/>
              </a:prstGeom>
              <a:solidFill>
                <a:schemeClr val="accent6"/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E8F-4415-B03A-70A763E3A4C8}"/>
              </c:ext>
            </c:extLst>
          </c:dPt>
          <c:dPt>
            <c:idx val="6"/>
            <c:bubble3D val="0"/>
            <c:spPr>
              <a:prstGeom prst="rect">
                <a:avLst/>
              </a:prstGeom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E8F-4415-B03A-70A763E3A4C8}"/>
              </c:ext>
            </c:extLst>
          </c:dPt>
          <c:dLbls>
            <c:numFmt formatCode="#,##0.00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prstGeom prst="rect">
                  <a:avLst/>
                </a:prstGeom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'Emisije CO2'!$Y$43:$Y$49</c:f>
              <c:strCache>
                <c:ptCount val="7"/>
                <c:pt idx="0">
                  <c:v>bencin</c:v>
                </c:pt>
                <c:pt idx="1">
                  <c:v>dizel</c:v>
                </c:pt>
                <c:pt idx="2">
                  <c:v>plin</c:v>
                </c:pt>
                <c:pt idx="3">
                  <c:v>hibrid</c:v>
                </c:pt>
                <c:pt idx="4">
                  <c:v>PHEV</c:v>
                </c:pt>
                <c:pt idx="5">
                  <c:v>BEV</c:v>
                </c:pt>
                <c:pt idx="6">
                  <c:v>HEV</c:v>
                </c:pt>
              </c:strCache>
            </c:strRef>
          </c:cat>
          <c:val>
            <c:numRef>
              <c:f>'Emisije CO2'!$AC$43:$AC$49</c:f>
              <c:numCache>
                <c:formatCode>General</c:formatCode>
                <c:ptCount val="7"/>
                <c:pt idx="0">
                  <c:v>63975.69094043837</c:v>
                </c:pt>
                <c:pt idx="1">
                  <c:v>56771.160304958321</c:v>
                </c:pt>
                <c:pt idx="2">
                  <c:v>3083.6876742829595</c:v>
                </c:pt>
                <c:pt idx="3">
                  <c:v>38256.216460549083</c:v>
                </c:pt>
                <c:pt idx="4">
                  <c:v>70888.911006082271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8F-4415-B03A-70A763E3A4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prstGeom prst="rect">
          <a:avLst/>
        </a:prstGeom>
        <a:noFill/>
        <a:ln>
          <a:noFill/>
        </a:ln>
      </c:spPr>
    </c:plotArea>
    <c:legend>
      <c:legendPos val="r"/>
      <c:overlay val="0"/>
      <c:spPr>
        <a:prstGeom prst="rect">
          <a:avLst/>
        </a:prstGeom>
        <a:solidFill>
          <a:schemeClr val="lt1">
            <a:lumMod val="95000"/>
            <a:alpha val="39000"/>
          </a:schemeClr>
        </a:solidFill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OA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'Št. avtomobilov'!$B$2</c:f>
              <c:strCache>
                <c:ptCount val="1"/>
                <c:pt idx="0">
                  <c:v>OA-B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avtomobilov'!$C$2:$W$2</c:f>
              <c:numCache>
                <c:formatCode>#,##0</c:formatCode>
                <c:ptCount val="12"/>
                <c:pt idx="0">
                  <c:v>744517</c:v>
                </c:pt>
                <c:pt idx="1">
                  <c:v>704334</c:v>
                </c:pt>
                <c:pt idx="2">
                  <c:v>624429</c:v>
                </c:pt>
                <c:pt idx="3">
                  <c:v>614980</c:v>
                </c:pt>
                <c:pt idx="4">
                  <c:v>601235</c:v>
                </c:pt>
                <c:pt idx="5">
                  <c:v>548145</c:v>
                </c:pt>
                <c:pt idx="6">
                  <c:v>437152</c:v>
                </c:pt>
                <c:pt idx="7">
                  <c:v>286710</c:v>
                </c:pt>
                <c:pt idx="8">
                  <c:v>134267</c:v>
                </c:pt>
                <c:pt idx="9">
                  <c:v>36196</c:v>
                </c:pt>
                <c:pt idx="10">
                  <c:v>11240</c:v>
                </c:pt>
                <c:pt idx="11">
                  <c:v>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2-4093-9228-892A054628E0}"/>
            </c:ext>
          </c:extLst>
        </c:ser>
        <c:ser>
          <c:idx val="1"/>
          <c:order val="1"/>
          <c:tx>
            <c:strRef>
              <c:f>'Št. avtomobilov'!$B$3</c:f>
              <c:strCache>
                <c:ptCount val="1"/>
                <c:pt idx="0">
                  <c:v>OA-B Hi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avtomobilov'!$C$3:$W$3</c:f>
              <c:numCache>
                <c:formatCode>#,##0</c:formatCode>
                <c:ptCount val="12"/>
                <c:pt idx="0">
                  <c:v>72</c:v>
                </c:pt>
                <c:pt idx="1">
                  <c:v>510</c:v>
                </c:pt>
                <c:pt idx="2">
                  <c:v>1235</c:v>
                </c:pt>
                <c:pt idx="3">
                  <c:v>2539</c:v>
                </c:pt>
                <c:pt idx="4">
                  <c:v>10703</c:v>
                </c:pt>
                <c:pt idx="5">
                  <c:v>48980</c:v>
                </c:pt>
                <c:pt idx="6">
                  <c:v>87849</c:v>
                </c:pt>
                <c:pt idx="7">
                  <c:v>99607</c:v>
                </c:pt>
                <c:pt idx="8">
                  <c:v>80665</c:v>
                </c:pt>
                <c:pt idx="9">
                  <c:v>47146</c:v>
                </c:pt>
                <c:pt idx="10">
                  <c:v>21773</c:v>
                </c:pt>
                <c:pt idx="11">
                  <c:v>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2-4093-9228-892A054628E0}"/>
            </c:ext>
          </c:extLst>
        </c:ser>
        <c:ser>
          <c:idx val="2"/>
          <c:order val="2"/>
          <c:tx>
            <c:strRef>
              <c:f>'Št. avtomobilov'!$B$4</c:f>
              <c:strCache>
                <c:ptCount val="1"/>
                <c:pt idx="0">
                  <c:v>OA-B PHEV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avtomobilov'!$C$4:$W$4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298</c:v>
                </c:pt>
                <c:pt idx="4">
                  <c:v>1580</c:v>
                </c:pt>
                <c:pt idx="5">
                  <c:v>17895</c:v>
                </c:pt>
                <c:pt idx="6">
                  <c:v>67247</c:v>
                </c:pt>
                <c:pt idx="7">
                  <c:v>124590</c:v>
                </c:pt>
                <c:pt idx="8">
                  <c:v>159685</c:v>
                </c:pt>
                <c:pt idx="9">
                  <c:v>132986</c:v>
                </c:pt>
                <c:pt idx="10">
                  <c:v>81754</c:v>
                </c:pt>
                <c:pt idx="11">
                  <c:v>37164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2-4093-9228-892A054628E0}"/>
            </c:ext>
          </c:extLst>
        </c:ser>
        <c:ser>
          <c:idx val="3"/>
          <c:order val="3"/>
          <c:tx>
            <c:strRef>
              <c:f>'Št. avtomobilov'!$B$5</c:f>
              <c:strCache>
                <c:ptCount val="1"/>
                <c:pt idx="0">
                  <c:v>OA-D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avtomobilov'!$C$5:$W$5</c:f>
              <c:numCache>
                <c:formatCode>#,##0</c:formatCode>
                <c:ptCount val="12"/>
                <c:pt idx="0">
                  <c:v>191641</c:v>
                </c:pt>
                <c:pt idx="1">
                  <c:v>375846</c:v>
                </c:pt>
                <c:pt idx="2">
                  <c:v>499050</c:v>
                </c:pt>
                <c:pt idx="3">
                  <c:v>565830</c:v>
                </c:pt>
                <c:pt idx="4">
                  <c:v>658034</c:v>
                </c:pt>
                <c:pt idx="5">
                  <c:v>667120</c:v>
                </c:pt>
                <c:pt idx="6">
                  <c:v>545563</c:v>
                </c:pt>
                <c:pt idx="7">
                  <c:v>359982</c:v>
                </c:pt>
                <c:pt idx="8">
                  <c:v>110738</c:v>
                </c:pt>
                <c:pt idx="9">
                  <c:v>34314</c:v>
                </c:pt>
                <c:pt idx="10">
                  <c:v>13118</c:v>
                </c:pt>
                <c:pt idx="11">
                  <c:v>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12-4093-9228-892A054628E0}"/>
            </c:ext>
          </c:extLst>
        </c:ser>
        <c:ser>
          <c:idx val="4"/>
          <c:order val="4"/>
          <c:tx>
            <c:strRef>
              <c:f>'Št. avtomobilov'!$B$6</c:f>
              <c:strCache>
                <c:ptCount val="1"/>
                <c:pt idx="0">
                  <c:v>OA-D Hi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avtomobilov'!$C$6:$W$6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66</c:v>
                </c:pt>
                <c:pt idx="3">
                  <c:v>215</c:v>
                </c:pt>
                <c:pt idx="4">
                  <c:v>684</c:v>
                </c:pt>
                <c:pt idx="5">
                  <c:v>4714</c:v>
                </c:pt>
                <c:pt idx="6">
                  <c:v>10076</c:v>
                </c:pt>
                <c:pt idx="7">
                  <c:v>13063</c:v>
                </c:pt>
                <c:pt idx="8">
                  <c:v>12340</c:v>
                </c:pt>
                <c:pt idx="9">
                  <c:v>8792</c:v>
                </c:pt>
                <c:pt idx="10">
                  <c:v>5129</c:v>
                </c:pt>
                <c:pt idx="11">
                  <c:v>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12-4093-9228-892A054628E0}"/>
            </c:ext>
          </c:extLst>
        </c:ser>
        <c:ser>
          <c:idx val="5"/>
          <c:order val="5"/>
          <c:tx>
            <c:strRef>
              <c:f>'Št. avtomobilov'!$B$7</c:f>
              <c:strCache>
                <c:ptCount val="1"/>
                <c:pt idx="0">
                  <c:v>OA-D PHEV</c:v>
                </c:pt>
              </c:strCache>
            </c:strRef>
          </c:tx>
          <c:spPr>
            <a:prstGeom prst="rect">
              <a:avLst/>
            </a:prstGeom>
            <a:solidFill>
              <a:schemeClr val="accent6"/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avtomobilov'!$C$7:$W$7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14</c:v>
                </c:pt>
                <c:pt idx="4">
                  <c:v>78</c:v>
                </c:pt>
                <c:pt idx="5">
                  <c:v>1863</c:v>
                </c:pt>
                <c:pt idx="6">
                  <c:v>8793</c:v>
                </c:pt>
                <c:pt idx="7">
                  <c:v>18696</c:v>
                </c:pt>
                <c:pt idx="8">
                  <c:v>26694</c:v>
                </c:pt>
                <c:pt idx="9">
                  <c:v>24688</c:v>
                </c:pt>
                <c:pt idx="10">
                  <c:v>17741</c:v>
                </c:pt>
                <c:pt idx="11">
                  <c:v>10165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12-4093-9228-892A054628E0}"/>
            </c:ext>
          </c:extLst>
        </c:ser>
        <c:ser>
          <c:idx val="6"/>
          <c:order val="6"/>
          <c:tx>
            <c:strRef>
              <c:f>'Št. avtomobilov'!$B$8</c:f>
              <c:strCache>
                <c:ptCount val="1"/>
                <c:pt idx="0">
                  <c:v>OA-UNP</c:v>
                </c:pt>
              </c:strCache>
            </c:strRef>
          </c:tx>
          <c:spPr>
            <a:prstGeom prst="rect">
              <a:avLst/>
            </a:prstGeom>
            <a:solidFill>
              <a:schemeClr val="accent1">
                <a:lumMod val="60000"/>
              </a:schemeClr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avtomobilov'!$C$8:$W$8</c:f>
              <c:numCache>
                <c:formatCode>#,##0</c:formatCode>
                <c:ptCount val="12"/>
                <c:pt idx="0">
                  <c:v>275</c:v>
                </c:pt>
                <c:pt idx="1">
                  <c:v>2221</c:v>
                </c:pt>
                <c:pt idx="2">
                  <c:v>8629</c:v>
                </c:pt>
                <c:pt idx="3">
                  <c:v>10313</c:v>
                </c:pt>
                <c:pt idx="4">
                  <c:v>11174</c:v>
                </c:pt>
                <c:pt idx="5">
                  <c:v>10974</c:v>
                </c:pt>
                <c:pt idx="6">
                  <c:v>10590</c:v>
                </c:pt>
                <c:pt idx="7">
                  <c:v>8896</c:v>
                </c:pt>
                <c:pt idx="8">
                  <c:v>5599</c:v>
                </c:pt>
                <c:pt idx="9">
                  <c:v>2822</c:v>
                </c:pt>
                <c:pt idx="10">
                  <c:v>1448</c:v>
                </c:pt>
                <c:pt idx="11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12-4093-9228-892A054628E0}"/>
            </c:ext>
          </c:extLst>
        </c:ser>
        <c:ser>
          <c:idx val="7"/>
          <c:order val="7"/>
          <c:tx>
            <c:strRef>
              <c:f>'Št. avtomobilov'!$B$9</c:f>
              <c:strCache>
                <c:ptCount val="1"/>
                <c:pt idx="0">
                  <c:v>OA-SZP</c:v>
                </c:pt>
              </c:strCache>
            </c:strRef>
          </c:tx>
          <c:spPr>
            <a:prstGeom prst="rect">
              <a:avLst/>
            </a:prstGeom>
            <a:solidFill>
              <a:schemeClr val="accent2">
                <a:lumMod val="60000"/>
              </a:schemeClr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avtomobilov'!$C$9:$W$9</c:f>
              <c:numCache>
                <c:formatCode>#,##0</c:formatCode>
                <c:ptCount val="12"/>
                <c:pt idx="0">
                  <c:v>0</c:v>
                </c:pt>
                <c:pt idx="1">
                  <c:v>14</c:v>
                </c:pt>
                <c:pt idx="2">
                  <c:v>148</c:v>
                </c:pt>
                <c:pt idx="3">
                  <c:v>217</c:v>
                </c:pt>
                <c:pt idx="4">
                  <c:v>475</c:v>
                </c:pt>
                <c:pt idx="5">
                  <c:v>825</c:v>
                </c:pt>
                <c:pt idx="6">
                  <c:v>1015</c:v>
                </c:pt>
                <c:pt idx="7">
                  <c:v>1113</c:v>
                </c:pt>
                <c:pt idx="8">
                  <c:v>981</c:v>
                </c:pt>
                <c:pt idx="9">
                  <c:v>664</c:v>
                </c:pt>
                <c:pt idx="10">
                  <c:v>384</c:v>
                </c:pt>
                <c:pt idx="1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12-4093-9228-892A054628E0}"/>
            </c:ext>
          </c:extLst>
        </c:ser>
        <c:ser>
          <c:idx val="8"/>
          <c:order val="8"/>
          <c:tx>
            <c:strRef>
              <c:f>'Št. avtomobilov'!$B$10</c:f>
              <c:strCache>
                <c:ptCount val="1"/>
                <c:pt idx="0">
                  <c:v>OA-BEV</c:v>
                </c:pt>
              </c:strCache>
            </c:strRef>
          </c:tx>
          <c:spPr>
            <a:prstGeom prst="rect">
              <a:avLst/>
            </a:prstGeom>
            <a:solidFill>
              <a:schemeClr val="accent3">
                <a:lumMod val="60000"/>
              </a:schemeClr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avtomobilov'!$C$10:$W$10</c:f>
              <c:numCache>
                <c:formatCode>#,##0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244</c:v>
                </c:pt>
                <c:pt idx="3">
                  <c:v>755</c:v>
                </c:pt>
                <c:pt idx="4">
                  <c:v>3243</c:v>
                </c:pt>
                <c:pt idx="5">
                  <c:v>21923</c:v>
                </c:pt>
                <c:pt idx="6">
                  <c:v>140639</c:v>
                </c:pt>
                <c:pt idx="7">
                  <c:v>366566</c:v>
                </c:pt>
                <c:pt idx="8">
                  <c:v>700694</c:v>
                </c:pt>
                <c:pt idx="9">
                  <c:v>874990</c:v>
                </c:pt>
                <c:pt idx="10">
                  <c:v>905280</c:v>
                </c:pt>
                <c:pt idx="11">
                  <c:v>877254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12-4093-9228-892A054628E0}"/>
            </c:ext>
          </c:extLst>
        </c:ser>
        <c:ser>
          <c:idx val="9"/>
          <c:order val="9"/>
          <c:tx>
            <c:strRef>
              <c:f>'Št. avtomobilov'!$B$11</c:f>
              <c:strCache>
                <c:ptCount val="1"/>
                <c:pt idx="0">
                  <c:v>OA-H2</c:v>
                </c:pt>
              </c:strCache>
            </c:strRef>
          </c:tx>
          <c:spPr>
            <a:prstGeom prst="rect">
              <a:avLst/>
            </a:prstGeom>
            <a:solidFill>
              <a:schemeClr val="accent4">
                <a:lumMod val="60000"/>
              </a:schemeClr>
            </a:solidFill>
            <a:ln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avtomobilov'!$C$11:$W$11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3792</c:v>
                </c:pt>
                <c:pt idx="7">
                  <c:v>13822</c:v>
                </c:pt>
                <c:pt idx="8">
                  <c:v>33033</c:v>
                </c:pt>
                <c:pt idx="9">
                  <c:v>59900</c:v>
                </c:pt>
                <c:pt idx="10">
                  <c:v>99777</c:v>
                </c:pt>
                <c:pt idx="11">
                  <c:v>145658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12-4093-9228-892A0546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93664"/>
        <c:axId val="96492560"/>
      </c:areaChart>
      <c:catAx>
        <c:axId val="641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492560"/>
        <c:crosses val="autoZero"/>
        <c:auto val="1"/>
        <c:lblAlgn val="ctr"/>
        <c:lblOffset val="100"/>
        <c:noMultiLvlLbl val="0"/>
      </c:catAx>
      <c:valAx>
        <c:axId val="96492560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93664"/>
        <c:crosses val="autoZero"/>
        <c:crossBetween val="midCat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OA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'Št. avtomobilov'!$B$25</c:f>
              <c:strCache>
                <c:ptCount val="1"/>
                <c:pt idx="0">
                  <c:v>bencin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 w="25400"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avtomobilov'!$C$25:$W$25</c:f>
              <c:numCache>
                <c:formatCode>#,##0.000</c:formatCode>
                <c:ptCount val="12"/>
                <c:pt idx="0">
                  <c:v>0.79499522159518632</c:v>
                </c:pt>
                <c:pt idx="1">
                  <c:v>0.65039540802192564</c:v>
                </c:pt>
                <c:pt idx="2">
                  <c:v>0.55070744628779211</c:v>
                </c:pt>
                <c:pt idx="3">
                  <c:v>0.51455828963629169</c:v>
                </c:pt>
                <c:pt idx="4">
                  <c:v>0.46708529947809441</c:v>
                </c:pt>
                <c:pt idx="5">
                  <c:v>0.41449548901688471</c:v>
                </c:pt>
                <c:pt idx="6">
                  <c:v>0.33301338598752511</c:v>
                </c:pt>
                <c:pt idx="7">
                  <c:v>0.2217324223054882</c:v>
                </c:pt>
                <c:pt idx="8">
                  <c:v>0.10616543422292789</c:v>
                </c:pt>
                <c:pt idx="9">
                  <c:v>2.960822839791967E-2</c:v>
                </c:pt>
                <c:pt idx="10">
                  <c:v>9.7093752483492328E-3</c:v>
                </c:pt>
                <c:pt idx="11">
                  <c:v>3.8287284576831253E-3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F-4968-84BB-BFC7D169C650}"/>
            </c:ext>
          </c:extLst>
        </c:ser>
        <c:ser>
          <c:idx val="1"/>
          <c:order val="1"/>
          <c:tx>
            <c:strRef>
              <c:f>'Št. avtomobilov'!$B$26</c:f>
              <c:strCache>
                <c:ptCount val="1"/>
                <c:pt idx="0">
                  <c:v>dizel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 w="25400"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avtomobilov'!$C$26:$W$26</c:f>
              <c:numCache>
                <c:formatCode>#,##0.000</c:formatCode>
                <c:ptCount val="12"/>
                <c:pt idx="0">
                  <c:v>0.20463425181926417</c:v>
                </c:pt>
                <c:pt idx="1">
                  <c:v>0.34706334285070528</c:v>
                </c:pt>
                <c:pt idx="2">
                  <c:v>0.44013098538011952</c:v>
                </c:pt>
                <c:pt idx="3">
                  <c:v>0.47343412310140642</c:v>
                </c:pt>
                <c:pt idx="4">
                  <c:v>0.51121110373941703</c:v>
                </c:pt>
                <c:pt idx="5">
                  <c:v>0.50446183150980872</c:v>
                </c:pt>
                <c:pt idx="6">
                  <c:v>0.41559865195518297</c:v>
                </c:pt>
                <c:pt idx="7">
                  <c:v>0.27839866361959559</c:v>
                </c:pt>
                <c:pt idx="8">
                  <c:v>8.7560963267061809E-2</c:v>
                </c:pt>
                <c:pt idx="9">
                  <c:v>2.8068757576699511E-2</c:v>
                </c:pt>
                <c:pt idx="10">
                  <c:v>1.1331635632370574E-2</c:v>
                </c:pt>
                <c:pt idx="11">
                  <c:v>4.820683918516898E-3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F-4968-84BB-BFC7D169C650}"/>
            </c:ext>
          </c:extLst>
        </c:ser>
        <c:ser>
          <c:idx val="2"/>
          <c:order val="2"/>
          <c:tx>
            <c:strRef>
              <c:f>'Št. avtomobilov'!$B$27</c:f>
              <c:strCache>
                <c:ptCount val="1"/>
                <c:pt idx="0">
                  <c:v>plin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 w="25400"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avtomobilov'!$C$27:$W$27</c:f>
              <c:numCache>
                <c:formatCode>#,##0.000</c:formatCode>
                <c:ptCount val="12"/>
                <c:pt idx="0">
                  <c:v>2.9364498854784544E-4</c:v>
                </c:pt>
                <c:pt idx="1">
                  <c:v>2.0638414969730325E-3</c:v>
                </c:pt>
                <c:pt idx="2">
                  <c:v>7.740766774233662E-3</c:v>
                </c:pt>
                <c:pt idx="3">
                  <c:v>8.8105284559988149E-3</c:v>
                </c:pt>
                <c:pt idx="4">
                  <c:v>9.0498335153813766E-3</c:v>
                </c:pt>
                <c:pt idx="5">
                  <c:v>8.922150662525833E-3</c:v>
                </c:pt>
                <c:pt idx="6">
                  <c:v>8.8404498764393814E-3</c:v>
                </c:pt>
                <c:pt idx="7">
                  <c:v>7.7406432104064433E-3</c:v>
                </c:pt>
                <c:pt idx="8">
                  <c:v>5.2028313523566141E-3</c:v>
                </c:pt>
                <c:pt idx="9">
                  <c:v>2.8515384074247973E-3</c:v>
                </c:pt>
                <c:pt idx="10">
                  <c:v>1.5825245066704444E-3</c:v>
                </c:pt>
                <c:pt idx="11">
                  <c:v>9.379652650872857E-4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F-4968-84BB-BFC7D169C650}"/>
            </c:ext>
          </c:extLst>
        </c:ser>
        <c:ser>
          <c:idx val="3"/>
          <c:order val="3"/>
          <c:tx>
            <c:strRef>
              <c:f>'Št. avtomobilov'!$B$28</c:f>
              <c:strCache>
                <c:ptCount val="1"/>
                <c:pt idx="0">
                  <c:v>hibrid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 w="25400"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avtomobilov'!$C$28:$W$28</c:f>
              <c:numCache>
                <c:formatCode>#,##0.000</c:formatCode>
                <c:ptCount val="12"/>
                <c:pt idx="0">
                  <c:v>7.6881597001617722E-5</c:v>
                </c:pt>
                <c:pt idx="1">
                  <c:v>4.7094369729585976E-4</c:v>
                </c:pt>
                <c:pt idx="2">
                  <c:v>1.1474008856417904E-3</c:v>
                </c:pt>
                <c:pt idx="3">
                  <c:v>2.304292057722767E-3</c:v>
                </c:pt>
                <c:pt idx="4">
                  <c:v>8.8462918911192141E-3</c:v>
                </c:pt>
                <c:pt idx="5">
                  <c:v>4.0602250841059589E-2</c:v>
                </c:pt>
                <c:pt idx="6">
                  <c:v>7.4597247233979022E-2</c:v>
                </c:pt>
                <c:pt idx="7">
                  <c:v>8.7135405186981124E-2</c:v>
                </c:pt>
                <c:pt idx="8">
                  <c:v>7.3539411842846028E-2</c:v>
                </c:pt>
                <c:pt idx="9">
                  <c:v>4.5757130073014435E-2</c:v>
                </c:pt>
                <c:pt idx="10">
                  <c:v>2.3238577662908461E-2</c:v>
                </c:pt>
                <c:pt idx="11">
                  <c:v>1.1047858190632975E-2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9F-4968-84BB-BFC7D169C650}"/>
            </c:ext>
          </c:extLst>
        </c:ser>
        <c:ser>
          <c:idx val="4"/>
          <c:order val="4"/>
          <c:tx>
            <c:strRef>
              <c:f>'Št. avtomobilov'!$B$29</c:f>
              <c:strCache>
                <c:ptCount val="1"/>
                <c:pt idx="0">
                  <c:v>PHEV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 w="25400"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avtomobilov'!$C$29:$W$29</c:f>
              <c:numCache>
                <c:formatCode>#,##0.000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5.8207885051774151E-5</c:v>
                </c:pt>
                <c:pt idx="3">
                  <c:v>2.6105269499255749E-4</c:v>
                </c:pt>
                <c:pt idx="4">
                  <c:v>1.2880611184223816E-3</c:v>
                </c:pt>
                <c:pt idx="5">
                  <c:v>1.4940575708974101E-2</c:v>
                </c:pt>
                <c:pt idx="6">
                  <c:v>5.7925705179185751E-2</c:v>
                </c:pt>
                <c:pt idx="7">
                  <c:v>0.11081284874076308</c:v>
                </c:pt>
                <c:pt idx="8">
                  <c:v>0.14737059340742756</c:v>
                </c:pt>
                <c:pt idx="9">
                  <c:v>0.12897689812171473</c:v>
                </c:pt>
                <c:pt idx="10">
                  <c:v>8.5946111239724815E-2</c:v>
                </c:pt>
                <c:pt idx="11">
                  <c:v>4.3310202957381604E-2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9F-4968-84BB-BFC7D169C650}"/>
            </c:ext>
          </c:extLst>
        </c:ser>
        <c:ser>
          <c:idx val="5"/>
          <c:order val="5"/>
          <c:tx>
            <c:strRef>
              <c:f>'Št. avtomobilov'!$B$30</c:f>
              <c:strCache>
                <c:ptCount val="1"/>
                <c:pt idx="0">
                  <c:v>BEV</c:v>
                </c:pt>
              </c:strCache>
            </c:strRef>
          </c:tx>
          <c:spPr>
            <a:prstGeom prst="rect">
              <a:avLst/>
            </a:prstGeom>
            <a:solidFill>
              <a:schemeClr val="accent6"/>
            </a:solidFill>
            <a:ln w="25400"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avtomobilov'!$C$30:$W$30</c:f>
              <c:numCache>
                <c:formatCode>#,##0.000</c:formatCode>
                <c:ptCount val="12"/>
                <c:pt idx="0">
                  <c:v>0</c:v>
                </c:pt>
                <c:pt idx="1">
                  <c:v>6.4639331001392516E-6</c:v>
                </c:pt>
                <c:pt idx="2">
                  <c:v>2.1519278716110443E-4</c:v>
                </c:pt>
                <c:pt idx="3">
                  <c:v>6.3171405358775936E-4</c:v>
                </c:pt>
                <c:pt idx="4">
                  <c:v>2.5194102575656109E-3</c:v>
                </c:pt>
                <c:pt idx="5">
                  <c:v>1.6577702260747E-2</c:v>
                </c:pt>
                <c:pt idx="6">
                  <c:v>0.10713589230267628</c:v>
                </c:pt>
                <c:pt idx="7">
                  <c:v>0.28349052043819045</c:v>
                </c:pt>
                <c:pt idx="8">
                  <c:v>0.55404144553315582</c:v>
                </c:pt>
                <c:pt idx="9">
                  <c:v>0.71573941225261717</c:v>
                </c:pt>
                <c:pt idx="10">
                  <c:v>0.7820020662656223</c:v>
                </c:pt>
                <c:pt idx="11">
                  <c:v>0.80276466405744562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9F-4968-84BB-BFC7D169C650}"/>
            </c:ext>
          </c:extLst>
        </c:ser>
        <c:ser>
          <c:idx val="6"/>
          <c:order val="6"/>
          <c:tx>
            <c:strRef>
              <c:f>'Št. avtomobilov'!$B$31</c:f>
              <c:strCache>
                <c:ptCount val="1"/>
                <c:pt idx="0">
                  <c:v>HEV</c:v>
                </c:pt>
              </c:strCache>
            </c:strRef>
          </c:tx>
          <c:spPr>
            <a:prstGeom prst="rect">
              <a:avLst/>
            </a:prstGeom>
            <a:solidFill>
              <a:schemeClr val="accent1">
                <a:lumMod val="60000"/>
              </a:schemeClr>
            </a:solidFill>
            <a:ln w="25400">
              <a:noFill/>
            </a:ln>
          </c:spPr>
          <c:cat>
            <c:numRef>
              <c:f>'Št. avtomobilov'!$C$1:$W$1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2017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</c:numCache>
            </c:numRef>
          </c:cat>
          <c:val>
            <c:numRef>
              <c:f>'Št. avtomobilov'!$C$31:$W$31</c:f>
              <c:numCache>
                <c:formatCode>#,##0.000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2.8886674650114722E-3</c:v>
                </c:pt>
                <c:pt idx="7">
                  <c:v>1.0689496498575068E-2</c:v>
                </c:pt>
                <c:pt idx="8">
                  <c:v>2.611932037422432E-2</c:v>
                </c:pt>
                <c:pt idx="9">
                  <c:v>4.8998035170609688E-2</c:v>
                </c:pt>
                <c:pt idx="10">
                  <c:v>8.6189709444354223E-2</c:v>
                </c:pt>
                <c:pt idx="11">
                  <c:v>0.13328989715325254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9F-4968-84BB-BFC7D169C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93664"/>
        <c:axId val="96492560"/>
      </c:areaChart>
      <c:catAx>
        <c:axId val="641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492560"/>
        <c:crosses val="autoZero"/>
        <c:auto val="1"/>
        <c:lblAlgn val="ctr"/>
        <c:lblOffset val="100"/>
        <c:noMultiLvlLbl val="0"/>
      </c:catAx>
      <c:valAx>
        <c:axId val="96492560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.00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93664"/>
        <c:crosses val="autoZero"/>
        <c:crossBetween val="midCat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Prevoženi km/OA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'Št. prevoženih km'!$B$2</c:f>
              <c:strCache>
                <c:ptCount val="1"/>
                <c:pt idx="0">
                  <c:v>OA-B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km'!$C$2:$W$2</c:f>
              <c:numCache>
                <c:formatCode>#,##0</c:formatCode>
                <c:ptCount val="11"/>
                <c:pt idx="0">
                  <c:v>8084.0768596471808</c:v>
                </c:pt>
                <c:pt idx="1">
                  <c:v>7431.3774292839971</c:v>
                </c:pt>
                <c:pt idx="2">
                  <c:v>6425.9669797300994</c:v>
                </c:pt>
                <c:pt idx="3">
                  <c:v>6011.2742741069433</c:v>
                </c:pt>
                <c:pt idx="4">
                  <c:v>5647.5180105699837</c:v>
                </c:pt>
                <c:pt idx="5">
                  <c:v>4463.9488713599003</c:v>
                </c:pt>
                <c:pt idx="6">
                  <c:v>2684.5976607544408</c:v>
                </c:pt>
                <c:pt idx="7">
                  <c:v>1115.3469241490648</c:v>
                </c:pt>
                <c:pt idx="8">
                  <c:v>242.73521811171963</c:v>
                </c:pt>
                <c:pt idx="9">
                  <c:v>65.682793288470407</c:v>
                </c:pt>
                <c:pt idx="10">
                  <c:v>23.182766891288736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3-425A-A001-3128E535B885}"/>
            </c:ext>
          </c:extLst>
        </c:ser>
        <c:ser>
          <c:idx val="1"/>
          <c:order val="1"/>
          <c:tx>
            <c:strRef>
              <c:f>'Št. prevoženih km'!$B$3</c:f>
              <c:strCache>
                <c:ptCount val="1"/>
                <c:pt idx="0">
                  <c:v>OA-B Hi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km'!$C$3:$W$3</c:f>
              <c:numCache>
                <c:formatCode>#,##0</c:formatCode>
                <c:ptCount val="11"/>
                <c:pt idx="0">
                  <c:v>0.54231841527945113</c:v>
                </c:pt>
                <c:pt idx="1">
                  <c:v>5.5170507916285878</c:v>
                </c:pt>
                <c:pt idx="2">
                  <c:v>13.353665569681574</c:v>
                </c:pt>
                <c:pt idx="3">
                  <c:v>106.2560130402386</c:v>
                </c:pt>
                <c:pt idx="4">
                  <c:v>521.39895090428331</c:v>
                </c:pt>
                <c:pt idx="5">
                  <c:v>980.00092432861106</c:v>
                </c:pt>
                <c:pt idx="6">
                  <c:v>1088.3425982811252</c:v>
                </c:pt>
                <c:pt idx="7">
                  <c:v>840.32135812854017</c:v>
                </c:pt>
                <c:pt idx="8">
                  <c:v>456.72961022038089</c:v>
                </c:pt>
                <c:pt idx="9">
                  <c:v>189.9491244227431</c:v>
                </c:pt>
                <c:pt idx="10">
                  <c:v>69.41672375730947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3-425A-A001-3128E535B885}"/>
            </c:ext>
          </c:extLst>
        </c:ser>
        <c:ser>
          <c:idx val="2"/>
          <c:order val="2"/>
          <c:tx>
            <c:strRef>
              <c:f>'Št. prevoženih km'!$B$4</c:f>
              <c:strCache>
                <c:ptCount val="1"/>
                <c:pt idx="0">
                  <c:v>OA-B PHEV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km'!$C$4:$W$4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0.56369865559913634</c:v>
                </c:pt>
                <c:pt idx="3">
                  <c:v>15.778748379001327</c:v>
                </c:pt>
                <c:pt idx="4">
                  <c:v>185.31267387885103</c:v>
                </c:pt>
                <c:pt idx="5">
                  <c:v>720.41007537609789</c:v>
                </c:pt>
                <c:pt idx="6">
                  <c:v>1376.9799738931899</c:v>
                </c:pt>
                <c:pt idx="7">
                  <c:v>1752.4185475102963</c:v>
                </c:pt>
                <c:pt idx="8">
                  <c:v>1406.6679577401426</c:v>
                </c:pt>
                <c:pt idx="9">
                  <c:v>795.69867772950749</c:v>
                </c:pt>
                <c:pt idx="10">
                  <c:v>325.63904541549556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3-425A-A001-3128E535B885}"/>
            </c:ext>
          </c:extLst>
        </c:ser>
        <c:ser>
          <c:idx val="3"/>
          <c:order val="3"/>
          <c:tx>
            <c:strRef>
              <c:f>'Št. prevoženih km'!$B$5</c:f>
              <c:strCache>
                <c:ptCount val="1"/>
                <c:pt idx="0">
                  <c:v>OA-D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km'!$C$5:$W$5</c:f>
              <c:numCache>
                <c:formatCode>#,##0</c:formatCode>
                <c:ptCount val="11"/>
                <c:pt idx="0">
                  <c:v>3637.9230468592987</c:v>
                </c:pt>
                <c:pt idx="1">
                  <c:v>7312.0825203852273</c:v>
                </c:pt>
                <c:pt idx="2">
                  <c:v>9105.7141965830124</c:v>
                </c:pt>
                <c:pt idx="3">
                  <c:v>11849.112337149852</c:v>
                </c:pt>
                <c:pt idx="4">
                  <c:v>11648.076611771434</c:v>
                </c:pt>
                <c:pt idx="5">
                  <c:v>8941.46947159091</c:v>
                </c:pt>
                <c:pt idx="6">
                  <c:v>5394.9619851202888</c:v>
                </c:pt>
                <c:pt idx="7">
                  <c:v>1503.0328871243055</c:v>
                </c:pt>
                <c:pt idx="8">
                  <c:v>396.08245932552563</c:v>
                </c:pt>
                <c:pt idx="9">
                  <c:v>131.22828945677827</c:v>
                </c:pt>
                <c:pt idx="10">
                  <c:v>47.639014316766392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93-425A-A001-3128E535B885}"/>
            </c:ext>
          </c:extLst>
        </c:ser>
        <c:ser>
          <c:idx val="4"/>
          <c:order val="4"/>
          <c:tx>
            <c:strRef>
              <c:f>'Št. prevoženih km'!$B$6</c:f>
              <c:strCache>
                <c:ptCount val="1"/>
                <c:pt idx="0">
                  <c:v>OA-D Hi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km'!$C$6:$W$6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1.2765896662625631</c:v>
                </c:pt>
                <c:pt idx="3">
                  <c:v>13.232156811035686</c:v>
                </c:pt>
                <c:pt idx="4">
                  <c:v>91.359628065385223</c:v>
                </c:pt>
                <c:pt idx="5">
                  <c:v>194.86694069170233</c:v>
                </c:pt>
                <c:pt idx="6">
                  <c:v>238.81647671965032</c:v>
                </c:pt>
                <c:pt idx="7">
                  <c:v>210.01285984582367</c:v>
                </c:pt>
                <c:pt idx="8">
                  <c:v>137.58502378671247</c:v>
                </c:pt>
                <c:pt idx="9">
                  <c:v>73.830344806941838</c:v>
                </c:pt>
                <c:pt idx="10">
                  <c:v>34.822844930553671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93-425A-A001-3128E535B885}"/>
            </c:ext>
          </c:extLst>
        </c:ser>
        <c:ser>
          <c:idx val="5"/>
          <c:order val="5"/>
          <c:tx>
            <c:strRef>
              <c:f>'Št. prevoženih km'!$B$7</c:f>
              <c:strCache>
                <c:ptCount val="1"/>
                <c:pt idx="0">
                  <c:v>OA-D PHEV</c:v>
                </c:pt>
              </c:strCache>
            </c:strRef>
          </c:tx>
          <c:spPr>
            <a:prstGeom prst="rect">
              <a:avLst/>
            </a:prstGeom>
            <a:solidFill>
              <a:schemeClr val="accent6"/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km'!$C$7:$W$7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2.2069294869365187E-2</c:v>
                </c:pt>
                <c:pt idx="3">
                  <c:v>1.4939321912299068</c:v>
                </c:pt>
                <c:pt idx="4">
                  <c:v>36.142052355199731</c:v>
                </c:pt>
                <c:pt idx="5">
                  <c:v>170.84917384367776</c:v>
                </c:pt>
                <c:pt idx="6">
                  <c:v>358.46753925934485</c:v>
                </c:pt>
                <c:pt idx="7">
                  <c:v>493.61430164434</c:v>
                </c:pt>
                <c:pt idx="8">
                  <c:v>421.3043501491203</c:v>
                </c:pt>
                <c:pt idx="9">
                  <c:v>275.7683075806429</c:v>
                </c:pt>
                <c:pt idx="10">
                  <c:v>145.57545921155631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93-425A-A001-3128E535B885}"/>
            </c:ext>
          </c:extLst>
        </c:ser>
        <c:ser>
          <c:idx val="6"/>
          <c:order val="6"/>
          <c:tx>
            <c:strRef>
              <c:f>'Št. prevoženih km'!$B$8</c:f>
              <c:strCache>
                <c:ptCount val="1"/>
                <c:pt idx="0">
                  <c:v>OA-UNP</c:v>
                </c:pt>
              </c:strCache>
            </c:strRef>
          </c:tx>
          <c:spPr>
            <a:prstGeom prst="rect">
              <a:avLst/>
            </a:prstGeom>
            <a:solidFill>
              <a:schemeClr val="accent1">
                <a:lumMod val="60000"/>
              </a:schemeClr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km'!$C$8:$W$8</c:f>
              <c:numCache>
                <c:formatCode>#,##0</c:formatCode>
                <c:ptCount val="11"/>
                <c:pt idx="0">
                  <c:v>4.4887069465497298</c:v>
                </c:pt>
                <c:pt idx="1">
                  <c:v>44.546726295791132</c:v>
                </c:pt>
                <c:pt idx="2">
                  <c:v>172.07878062371563</c:v>
                </c:pt>
                <c:pt idx="3">
                  <c:v>219.26982426994508</c:v>
                </c:pt>
                <c:pt idx="4">
                  <c:v>213.31260081384298</c:v>
                </c:pt>
                <c:pt idx="5">
                  <c:v>202.67787421668896</c:v>
                </c:pt>
                <c:pt idx="6">
                  <c:v>166.7996442153399</c:v>
                </c:pt>
                <c:pt idx="7">
                  <c:v>99.394274929979105</c:v>
                </c:pt>
                <c:pt idx="8">
                  <c:v>43.61751391776491</c:v>
                </c:pt>
                <c:pt idx="9">
                  <c:v>17.779684904521361</c:v>
                </c:pt>
                <c:pt idx="10">
                  <c:v>7.9775874417677448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93-425A-A001-3128E535B885}"/>
            </c:ext>
          </c:extLst>
        </c:ser>
        <c:ser>
          <c:idx val="7"/>
          <c:order val="7"/>
          <c:tx>
            <c:strRef>
              <c:f>'Št. prevoženih km'!$B$9</c:f>
              <c:strCache>
                <c:ptCount val="1"/>
                <c:pt idx="0">
                  <c:v>OA-SZP</c:v>
                </c:pt>
              </c:strCache>
            </c:strRef>
          </c:tx>
          <c:spPr>
            <a:prstGeom prst="rect">
              <a:avLst/>
            </a:prstGeom>
            <a:solidFill>
              <a:schemeClr val="accent2">
                <a:lumMod val="60000"/>
              </a:schemeClr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km'!$C$9:$W$9</c:f>
              <c:numCache>
                <c:formatCode>#,##0</c:formatCode>
                <c:ptCount val="11"/>
                <c:pt idx="0">
                  <c:v>0</c:v>
                </c:pt>
                <c:pt idx="1">
                  <c:v>0.26058173366678195</c:v>
                </c:pt>
                <c:pt idx="2">
                  <c:v>2.6142804610295154</c:v>
                </c:pt>
                <c:pt idx="3">
                  <c:v>8.9139952595417391</c:v>
                </c:pt>
                <c:pt idx="4">
                  <c:v>16.240679176886506</c:v>
                </c:pt>
                <c:pt idx="5">
                  <c:v>20.002226476443127</c:v>
                </c:pt>
                <c:pt idx="6">
                  <c:v>21.609347667482144</c:v>
                </c:pt>
                <c:pt idx="7">
                  <c:v>19.472183566450092</c:v>
                </c:pt>
                <c:pt idx="8">
                  <c:v>12.639128435190605</c:v>
                </c:pt>
                <c:pt idx="9">
                  <c:v>6.7202374148200068</c:v>
                </c:pt>
                <c:pt idx="10">
                  <c:v>2.4674909422415636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93-425A-A001-3128E535B885}"/>
            </c:ext>
          </c:extLst>
        </c:ser>
        <c:ser>
          <c:idx val="8"/>
          <c:order val="8"/>
          <c:tx>
            <c:strRef>
              <c:f>'Št. prevoženih km'!$B$10</c:f>
              <c:strCache>
                <c:ptCount val="1"/>
                <c:pt idx="0">
                  <c:v>OA-BEV</c:v>
                </c:pt>
              </c:strCache>
            </c:strRef>
          </c:tx>
          <c:spPr>
            <a:prstGeom prst="rect">
              <a:avLst/>
            </a:prstGeom>
            <a:solidFill>
              <a:schemeClr val="accent3">
                <a:lumMod val="60000"/>
              </a:schemeClr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km'!$C$10:$W$10</c:f>
              <c:numCache>
                <c:formatCode>#,##0</c:formatCode>
                <c:ptCount val="11"/>
                <c:pt idx="0">
                  <c:v>0</c:v>
                </c:pt>
                <c:pt idx="1">
                  <c:v>9.6356273298179973E-2</c:v>
                </c:pt>
                <c:pt idx="2">
                  <c:v>3.2569340786303957</c:v>
                </c:pt>
                <c:pt idx="3">
                  <c:v>47.586698149430333</c:v>
                </c:pt>
                <c:pt idx="4">
                  <c:v>332.64227760216835</c:v>
                </c:pt>
                <c:pt idx="5">
                  <c:v>2124.2794158221882</c:v>
                </c:pt>
                <c:pt idx="6">
                  <c:v>5720.1262451974944</c:v>
                </c:pt>
                <c:pt idx="7">
                  <c:v>10989.199367943971</c:v>
                </c:pt>
                <c:pt idx="8">
                  <c:v>13560.424191408078</c:v>
                </c:pt>
                <c:pt idx="9">
                  <c:v>13623.231412461524</c:v>
                </c:pt>
                <c:pt idx="10">
                  <c:v>13050.296710795104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93-425A-A001-3128E535B885}"/>
            </c:ext>
          </c:extLst>
        </c:ser>
        <c:ser>
          <c:idx val="9"/>
          <c:order val="9"/>
          <c:tx>
            <c:strRef>
              <c:f>'Št. prevoženih km'!$B$11</c:f>
              <c:strCache>
                <c:ptCount val="1"/>
                <c:pt idx="0">
                  <c:v>OA-H2</c:v>
                </c:pt>
              </c:strCache>
            </c:strRef>
          </c:tx>
          <c:spPr>
            <a:prstGeom prst="rect">
              <a:avLst/>
            </a:prstGeom>
            <a:solidFill>
              <a:schemeClr val="accent4">
                <a:lumMod val="60000"/>
              </a:schemeClr>
            </a:solidFill>
            <a:ln>
              <a:noFill/>
            </a:ln>
          </c:spPr>
          <c:cat>
            <c:numRef>
              <c:f>'Št. prevoženih km'!$C$1:$W$1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'Št. prevoženih km'!$C$11:$W$11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71.404303170456174</c:v>
                </c:pt>
                <c:pt idx="6">
                  <c:v>267.91643983570833</c:v>
                </c:pt>
                <c:pt idx="7">
                  <c:v>640.15069462690872</c:v>
                </c:pt>
                <c:pt idx="8">
                  <c:v>1132.1641771620502</c:v>
                </c:pt>
                <c:pt idx="9">
                  <c:v>1871.7849980391702</c:v>
                </c:pt>
                <c:pt idx="10">
                  <c:v>2744.2765329921281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93-425A-A001-3128E535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93664"/>
        <c:axId val="96492560"/>
      </c:areaChart>
      <c:catAx>
        <c:axId val="641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492560"/>
        <c:crosses val="autoZero"/>
        <c:auto val="1"/>
        <c:lblAlgn val="ctr"/>
        <c:lblOffset val="100"/>
        <c:noMultiLvlLbl val="0"/>
      </c:catAx>
      <c:valAx>
        <c:axId val="96492560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93664"/>
        <c:crosses val="autoZero"/>
        <c:crossBetween val="midCat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Prevoženi km/OA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'Poraba energije'!$B$2</c:f>
              <c:strCache>
                <c:ptCount val="1"/>
                <c:pt idx="0">
                  <c:v>OA-B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energije'!$C$2:$W$2</c:f>
              <c:numCache>
                <c:formatCode>#,##0</c:formatCode>
                <c:ptCount val="11"/>
                <c:pt idx="0">
                  <c:v>21084.3416322632</c:v>
                </c:pt>
                <c:pt idx="1">
                  <c:v>19025.798106491009</c:v>
                </c:pt>
                <c:pt idx="2">
                  <c:v>16068.019267682123</c:v>
                </c:pt>
                <c:pt idx="3">
                  <c:v>14315.926497838091</c:v>
                </c:pt>
                <c:pt idx="4">
                  <c:v>12567.50931042209</c:v>
                </c:pt>
                <c:pt idx="5">
                  <c:v>9474.0999772022278</c:v>
                </c:pt>
                <c:pt idx="6">
                  <c:v>5575.6728152397682</c:v>
                </c:pt>
                <c:pt idx="7">
                  <c:v>2291.1815782227059</c:v>
                </c:pt>
                <c:pt idx="8">
                  <c:v>510.55767753623968</c:v>
                </c:pt>
                <c:pt idx="9">
                  <c:v>141.31773605445909</c:v>
                </c:pt>
                <c:pt idx="10">
                  <c:v>49.072498973688809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C-40A4-B81F-8551AB2C9103}"/>
            </c:ext>
          </c:extLst>
        </c:ser>
        <c:ser>
          <c:idx val="1"/>
          <c:order val="1"/>
          <c:tx>
            <c:strRef>
              <c:f>'Poraba energije'!$B$3</c:f>
              <c:strCache>
                <c:ptCount val="1"/>
                <c:pt idx="0">
                  <c:v>OA-B Hi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energije'!$C$3:$W$3</c:f>
              <c:numCache>
                <c:formatCode>#,##0</c:formatCode>
                <c:ptCount val="11"/>
                <c:pt idx="0">
                  <c:v>1.0708744963259922</c:v>
                </c:pt>
                <c:pt idx="1">
                  <c:v>10.844738558281495</c:v>
                </c:pt>
                <c:pt idx="2">
                  <c:v>25.254250679154179</c:v>
                </c:pt>
                <c:pt idx="3">
                  <c:v>196.40800229120941</c:v>
                </c:pt>
                <c:pt idx="4">
                  <c:v>901.4723062181348</c:v>
                </c:pt>
                <c:pt idx="5">
                  <c:v>1601.1564724969146</c:v>
                </c:pt>
                <c:pt idx="6">
                  <c:v>1691.8613444321102</c:v>
                </c:pt>
                <c:pt idx="7">
                  <c:v>1246.1895066930499</c:v>
                </c:pt>
                <c:pt idx="8">
                  <c:v>648.92406107995748</c:v>
                </c:pt>
                <c:pt idx="9">
                  <c:v>261.10273793647849</c:v>
                </c:pt>
                <c:pt idx="10">
                  <c:v>96.937051859992465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C-40A4-B81F-8551AB2C9103}"/>
            </c:ext>
          </c:extLst>
        </c:ser>
        <c:ser>
          <c:idx val="2"/>
          <c:order val="2"/>
          <c:tx>
            <c:strRef>
              <c:f>'Poraba energije'!$B$4</c:f>
              <c:strCache>
                <c:ptCount val="1"/>
                <c:pt idx="0">
                  <c:v>OA-B PHEV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energije'!$C$4:$W$4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1.0278967819891456</c:v>
                </c:pt>
                <c:pt idx="3">
                  <c:v>27.701788556167738</c:v>
                </c:pt>
                <c:pt idx="4">
                  <c:v>302.81641222856081</c:v>
                </c:pt>
                <c:pt idx="5">
                  <c:v>1134.2907894691361</c:v>
                </c:pt>
                <c:pt idx="6">
                  <c:v>2117.6791622472483</c:v>
                </c:pt>
                <c:pt idx="7">
                  <c:v>2651.582386406139</c:v>
                </c:pt>
                <c:pt idx="8">
                  <c:v>2103.6691112746335</c:v>
                </c:pt>
                <c:pt idx="9">
                  <c:v>1180.9755983516357</c:v>
                </c:pt>
                <c:pt idx="10">
                  <c:v>480.39334163513735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0C-40A4-B81F-8551AB2C9103}"/>
            </c:ext>
          </c:extLst>
        </c:ser>
        <c:ser>
          <c:idx val="3"/>
          <c:order val="3"/>
          <c:tx>
            <c:strRef>
              <c:f>'Poraba energije'!$B$5</c:f>
              <c:strCache>
                <c:ptCount val="1"/>
                <c:pt idx="0">
                  <c:v>OA-D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energije'!$C$5:$W$5</c:f>
              <c:numCache>
                <c:formatCode>#,##0</c:formatCode>
                <c:ptCount val="11"/>
                <c:pt idx="0">
                  <c:v>9001.3146220922463</c:v>
                </c:pt>
                <c:pt idx="1">
                  <c:v>17802.617968286115</c:v>
                </c:pt>
                <c:pt idx="2">
                  <c:v>21612.186275160726</c:v>
                </c:pt>
                <c:pt idx="3">
                  <c:v>27345.036686701711</c:v>
                </c:pt>
                <c:pt idx="4">
                  <c:v>26203.182963549043</c:v>
                </c:pt>
                <c:pt idx="5">
                  <c:v>19706.166391061517</c:v>
                </c:pt>
                <c:pt idx="6">
                  <c:v>11775.188891070742</c:v>
                </c:pt>
                <c:pt idx="7">
                  <c:v>3242.625700022943</c:v>
                </c:pt>
                <c:pt idx="8">
                  <c:v>869.03916923850716</c:v>
                </c:pt>
                <c:pt idx="9">
                  <c:v>291.95873566458772</c:v>
                </c:pt>
                <c:pt idx="10">
                  <c:v>105.72610950034448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0C-40A4-B81F-8551AB2C9103}"/>
            </c:ext>
          </c:extLst>
        </c:ser>
        <c:ser>
          <c:idx val="4"/>
          <c:order val="4"/>
          <c:tx>
            <c:strRef>
              <c:f>'Poraba energije'!$B$6</c:f>
              <c:strCache>
                <c:ptCount val="1"/>
                <c:pt idx="0">
                  <c:v>OA-D Hi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energije'!$C$6:$W$6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2.9968330089469415</c:v>
                </c:pt>
                <c:pt idx="3">
                  <c:v>31.004851436546787</c:v>
                </c:pt>
                <c:pt idx="4">
                  <c:v>204.86430453464561</c:v>
                </c:pt>
                <c:pt idx="5">
                  <c:v>418.72420842923339</c:v>
                </c:pt>
                <c:pt idx="6">
                  <c:v>495.03268594304097</c:v>
                </c:pt>
                <c:pt idx="7">
                  <c:v>423.05456552809858</c:v>
                </c:pt>
                <c:pt idx="8">
                  <c:v>271.56949023177623</c:v>
                </c:pt>
                <c:pt idx="9">
                  <c:v>143.1447021189166</c:v>
                </c:pt>
                <c:pt idx="10">
                  <c:v>67.522602985210611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0C-40A4-B81F-8551AB2C9103}"/>
            </c:ext>
          </c:extLst>
        </c:ser>
        <c:ser>
          <c:idx val="5"/>
          <c:order val="5"/>
          <c:tx>
            <c:strRef>
              <c:f>'Poraba energije'!$B$7</c:f>
              <c:strCache>
                <c:ptCount val="1"/>
                <c:pt idx="0">
                  <c:v>OA-D PHEV</c:v>
                </c:pt>
              </c:strCache>
            </c:strRef>
          </c:tx>
          <c:spPr>
            <a:prstGeom prst="rect">
              <a:avLst/>
            </a:prstGeom>
            <a:solidFill>
              <a:schemeClr val="accent6"/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energije'!$C$7:$W$7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4.915846157759992E-2</c:v>
                </c:pt>
                <c:pt idx="3">
                  <c:v>3.0632825907818857</c:v>
                </c:pt>
                <c:pt idx="4">
                  <c:v>68.335833711810494</c:v>
                </c:pt>
                <c:pt idx="5">
                  <c:v>310.20139006552193</c:v>
                </c:pt>
                <c:pt idx="6">
                  <c:v>632.49450923616519</c:v>
                </c:pt>
                <c:pt idx="7">
                  <c:v>851.10758672005841</c:v>
                </c:pt>
                <c:pt idx="8">
                  <c:v>717.41052601813442</c:v>
                </c:pt>
                <c:pt idx="9">
                  <c:v>465.83993248675512</c:v>
                </c:pt>
                <c:pt idx="10">
                  <c:v>244.25101781751124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0C-40A4-B81F-8551AB2C9103}"/>
            </c:ext>
          </c:extLst>
        </c:ser>
        <c:ser>
          <c:idx val="6"/>
          <c:order val="6"/>
          <c:tx>
            <c:strRef>
              <c:f>'Poraba energije'!$B$8</c:f>
              <c:strCache>
                <c:ptCount val="1"/>
                <c:pt idx="0">
                  <c:v>OA-UNP</c:v>
                </c:pt>
              </c:strCache>
            </c:strRef>
          </c:tx>
          <c:spPr>
            <a:prstGeom prst="rect">
              <a:avLst/>
            </a:prstGeom>
            <a:solidFill>
              <a:schemeClr val="accent1">
                <a:lumMod val="60000"/>
              </a:schemeClr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energije'!$C$8:$W$8</c:f>
              <c:numCache>
                <c:formatCode>#,##0</c:formatCode>
                <c:ptCount val="11"/>
                <c:pt idx="0">
                  <c:v>14.766977728640068</c:v>
                </c:pt>
                <c:pt idx="1">
                  <c:v>146.55198679691614</c:v>
                </c:pt>
                <c:pt idx="2">
                  <c:v>566.11451980649861</c:v>
                </c:pt>
                <c:pt idx="3">
                  <c:v>719.98265343557443</c:v>
                </c:pt>
                <c:pt idx="4">
                  <c:v>690.97584508246848</c:v>
                </c:pt>
                <c:pt idx="5">
                  <c:v>636.02282221940743</c:v>
                </c:pt>
                <c:pt idx="6">
                  <c:v>502.19493616342152</c:v>
                </c:pt>
                <c:pt idx="7">
                  <c:v>287.8041690388651</c:v>
                </c:pt>
                <c:pt idx="8">
                  <c:v>123.32930247924304</c:v>
                </c:pt>
                <c:pt idx="9">
                  <c:v>50.559362688170452</c:v>
                </c:pt>
                <c:pt idx="10">
                  <c:v>23.475092045269967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0C-40A4-B81F-8551AB2C9103}"/>
            </c:ext>
          </c:extLst>
        </c:ser>
        <c:ser>
          <c:idx val="7"/>
          <c:order val="7"/>
          <c:tx>
            <c:strRef>
              <c:f>'Poraba energije'!$B$9</c:f>
              <c:strCache>
                <c:ptCount val="1"/>
                <c:pt idx="0">
                  <c:v>OA-SZP</c:v>
                </c:pt>
              </c:strCache>
            </c:strRef>
          </c:tx>
          <c:spPr>
            <a:prstGeom prst="rect">
              <a:avLst/>
            </a:prstGeom>
            <a:solidFill>
              <a:schemeClr val="accent2">
                <a:lumMod val="60000"/>
              </a:schemeClr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energije'!$C$9:$W$9</c:f>
              <c:numCache>
                <c:formatCode>#,##0</c:formatCode>
                <c:ptCount val="11"/>
                <c:pt idx="0">
                  <c:v>0</c:v>
                </c:pt>
                <c:pt idx="1">
                  <c:v>0.64178802790041201</c:v>
                </c:pt>
                <c:pt idx="2">
                  <c:v>6.4387241494379293</c:v>
                </c:pt>
                <c:pt idx="3">
                  <c:v>21.662930943506325</c:v>
                </c:pt>
                <c:pt idx="4">
                  <c:v>38.180681186574205</c:v>
                </c:pt>
                <c:pt idx="5">
                  <c:v>45.070498471700716</c:v>
                </c:pt>
                <c:pt idx="6">
                  <c:v>45.48530237743779</c:v>
                </c:pt>
                <c:pt idx="7">
                  <c:v>38.140290106444333</c:v>
                </c:pt>
                <c:pt idx="8">
                  <c:v>23.868804813130311</c:v>
                </c:pt>
                <c:pt idx="9">
                  <c:v>12.442354851618923</c:v>
                </c:pt>
                <c:pt idx="10">
                  <c:v>4.6826122570892137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0C-40A4-B81F-8551AB2C9103}"/>
            </c:ext>
          </c:extLst>
        </c:ser>
        <c:ser>
          <c:idx val="8"/>
          <c:order val="8"/>
          <c:tx>
            <c:strRef>
              <c:f>'Poraba energije'!$B$10</c:f>
              <c:strCache>
                <c:ptCount val="1"/>
                <c:pt idx="0">
                  <c:v>OA-BEV</c:v>
                </c:pt>
              </c:strCache>
            </c:strRef>
          </c:tx>
          <c:spPr>
            <a:prstGeom prst="rect">
              <a:avLst/>
            </a:prstGeom>
            <a:solidFill>
              <a:schemeClr val="accent3">
                <a:lumMod val="60000"/>
              </a:schemeClr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energije'!$C$10:$W$10</c:f>
              <c:numCache>
                <c:formatCode>#,##0</c:formatCode>
                <c:ptCount val="11"/>
                <c:pt idx="0">
                  <c:v>0</c:v>
                </c:pt>
                <c:pt idx="1">
                  <c:v>4.7752800673466066E-2</c:v>
                </c:pt>
                <c:pt idx="2">
                  <c:v>1.614090277050948</c:v>
                </c:pt>
                <c:pt idx="3">
                  <c:v>24.027709393509685</c:v>
                </c:pt>
                <c:pt idx="4">
                  <c:v>175.75312796407266</c:v>
                </c:pt>
                <c:pt idx="5">
                  <c:v>1173.7430604116007</c:v>
                </c:pt>
                <c:pt idx="6">
                  <c:v>3081.4074953460986</c:v>
                </c:pt>
                <c:pt idx="7">
                  <c:v>5424.5343696058999</c:v>
                </c:pt>
                <c:pt idx="8">
                  <c:v>6252.3242927979318</c:v>
                </c:pt>
                <c:pt idx="9">
                  <c:v>6012.345288387266</c:v>
                </c:pt>
                <c:pt idx="10">
                  <c:v>5636.0646767611652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0C-40A4-B81F-8551AB2C9103}"/>
            </c:ext>
          </c:extLst>
        </c:ser>
        <c:ser>
          <c:idx val="9"/>
          <c:order val="9"/>
          <c:tx>
            <c:strRef>
              <c:f>'Poraba energije'!$B$11</c:f>
              <c:strCache>
                <c:ptCount val="1"/>
                <c:pt idx="0">
                  <c:v>OA-H2</c:v>
                </c:pt>
              </c:strCache>
            </c:strRef>
          </c:tx>
          <c:spPr>
            <a:prstGeom prst="rect">
              <a:avLst/>
            </a:prstGeom>
            <a:solidFill>
              <a:schemeClr val="accent4">
                <a:lumMod val="60000"/>
              </a:schemeClr>
            </a:solidFill>
            <a:ln>
              <a:noFill/>
            </a:ln>
          </c:spPr>
          <c:cat>
            <c:numRef>
              <c:f>'Poraba energije'!$C$1:$W$1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</c:numCache>
            </c:numRef>
          </c:cat>
          <c:val>
            <c:numRef>
              <c:f>'Poraba energije'!$C$11:$W$11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54.65447429446651</c:v>
                </c:pt>
                <c:pt idx="6">
                  <c:v>197.82264213756793</c:v>
                </c:pt>
                <c:pt idx="7">
                  <c:v>457.3145766551944</c:v>
                </c:pt>
                <c:pt idx="8">
                  <c:v>781.18550938014823</c:v>
                </c:pt>
                <c:pt idx="9">
                  <c:v>1241.5286515250395</c:v>
                </c:pt>
                <c:pt idx="10">
                  <c:v>1767.7416348519823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0C-40A4-B81F-8551AB2C9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93664"/>
        <c:axId val="96492560"/>
      </c:areaChart>
      <c:catAx>
        <c:axId val="641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492560"/>
        <c:crosses val="autoZero"/>
        <c:auto val="1"/>
        <c:lblAlgn val="ctr"/>
        <c:lblOffset val="100"/>
        <c:noMultiLvlLbl val="0"/>
      </c:catAx>
      <c:valAx>
        <c:axId val="96492560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93664"/>
        <c:crosses val="autoZero"/>
        <c:crossBetween val="midCat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531133</xdr:colOff>
      <xdr:row>6</xdr:row>
      <xdr:rowOff>231323</xdr:rowOff>
    </xdr:from>
    <xdr:to>
      <xdr:col>13</xdr:col>
      <xdr:colOff>223158</xdr:colOff>
      <xdr:row>21</xdr:row>
      <xdr:rowOff>222251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549274</xdr:colOff>
      <xdr:row>22</xdr:row>
      <xdr:rowOff>164193</xdr:rowOff>
    </xdr:from>
    <xdr:to>
      <xdr:col>13</xdr:col>
      <xdr:colOff>244475</xdr:colOff>
      <xdr:row>37</xdr:row>
      <xdr:rowOff>145144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164193</xdr:rowOff>
    </xdr:from>
    <xdr:to>
      <xdr:col>5</xdr:col>
      <xdr:colOff>476250</xdr:colOff>
      <xdr:row>37</xdr:row>
      <xdr:rowOff>145144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549274</xdr:colOff>
      <xdr:row>38</xdr:row>
      <xdr:rowOff>56243</xdr:rowOff>
    </xdr:from>
    <xdr:to>
      <xdr:col>13</xdr:col>
      <xdr:colOff>244475</xdr:colOff>
      <xdr:row>53</xdr:row>
      <xdr:rowOff>37193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68942</xdr:rowOff>
    </xdr:from>
    <xdr:to>
      <xdr:col>5</xdr:col>
      <xdr:colOff>476250</xdr:colOff>
      <xdr:row>53</xdr:row>
      <xdr:rowOff>49894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6350</xdr:colOff>
      <xdr:row>0</xdr:row>
      <xdr:rowOff>0</xdr:rowOff>
    </xdr:from>
    <xdr:to>
      <xdr:col>5</xdr:col>
      <xdr:colOff>469325</xdr:colOff>
      <xdr:row>4</xdr:row>
      <xdr:rowOff>224850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7267" t="7812" r="9891" b="5216"/>
        <a:stretch/>
      </xdr:blipFill>
      <xdr:spPr bwMode="auto">
        <a:xfrm>
          <a:off x="3540125" y="0"/>
          <a:ext cx="1044000" cy="1044000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552449</xdr:colOff>
      <xdr:row>0</xdr:row>
      <xdr:rowOff>12700</xdr:rowOff>
    </xdr:from>
    <xdr:to>
      <xdr:col>13</xdr:col>
      <xdr:colOff>580800</xdr:colOff>
      <xdr:row>6</xdr:row>
      <xdr:rowOff>101448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7886700" y="12700"/>
          <a:ext cx="1885725" cy="1231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581025</xdr:colOff>
      <xdr:row>1</xdr:row>
      <xdr:rowOff>50800</xdr:rowOff>
    </xdr:from>
    <xdr:to>
      <xdr:col>34</xdr:col>
      <xdr:colOff>276224</xdr:colOff>
      <xdr:row>16</xdr:row>
      <xdr:rowOff>31750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587375</xdr:colOff>
      <xdr:row>18</xdr:row>
      <xdr:rowOff>114300</xdr:rowOff>
    </xdr:from>
    <xdr:to>
      <xdr:col>34</xdr:col>
      <xdr:colOff>282575</xdr:colOff>
      <xdr:row>33</xdr:row>
      <xdr:rowOff>95250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123824</xdr:colOff>
      <xdr:row>13</xdr:row>
      <xdr:rowOff>165100</xdr:rowOff>
    </xdr:from>
    <xdr:to>
      <xdr:col>24</xdr:col>
      <xdr:colOff>428625</xdr:colOff>
      <xdr:row>28</xdr:row>
      <xdr:rowOff>146050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561975</xdr:colOff>
      <xdr:row>0</xdr:row>
      <xdr:rowOff>0</xdr:rowOff>
    </xdr:from>
    <xdr:to>
      <xdr:col>31</xdr:col>
      <xdr:colOff>257175</xdr:colOff>
      <xdr:row>14</xdr:row>
      <xdr:rowOff>165100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85725</xdr:colOff>
      <xdr:row>26</xdr:row>
      <xdr:rowOff>139700</xdr:rowOff>
    </xdr:from>
    <xdr:to>
      <xdr:col>31</xdr:col>
      <xdr:colOff>390525</xdr:colOff>
      <xdr:row>41</xdr:row>
      <xdr:rowOff>120650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561975</xdr:colOff>
      <xdr:row>0</xdr:row>
      <xdr:rowOff>0</xdr:rowOff>
    </xdr:from>
    <xdr:to>
      <xdr:col>31</xdr:col>
      <xdr:colOff>257175</xdr:colOff>
      <xdr:row>14</xdr:row>
      <xdr:rowOff>165100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85" workbookViewId="0">
      <selection activeCell="C5" sqref="C5"/>
    </sheetView>
  </sheetViews>
  <sheetFormatPr defaultColWidth="0" defaultRowHeight="14.5" zeroHeight="1" x14ac:dyDescent="0.35"/>
  <cols>
    <col min="1" max="1" width="2.81640625" style="1" bestFit="1" customWidth="1"/>
    <col min="2" max="2" width="24.81640625" style="1" bestFit="1" customWidth="1"/>
    <col min="3" max="3" width="16.1796875" style="1" bestFit="1" customWidth="1"/>
    <col min="4" max="4" width="9.1796875" style="1" bestFit="1" customWidth="1"/>
    <col min="5" max="14" width="8.7265625" style="1" bestFit="1" customWidth="1"/>
    <col min="15" max="17" width="0" style="1" hidden="1" bestFit="1" customWidth="1"/>
    <col min="18" max="18" width="8.7265625" style="1" hidden="1" bestFit="1"/>
    <col min="19" max="16384" width="8.7265625" style="1" hidden="1"/>
  </cols>
  <sheetData>
    <row r="1" spans="1:4" x14ac:dyDescent="0.35"/>
    <row r="2" spans="1:4" ht="23.5" x14ac:dyDescent="0.55000000000000004">
      <c r="A2" s="2"/>
      <c r="B2" s="2" t="s">
        <v>0</v>
      </c>
    </row>
    <row r="3" spans="1:4" ht="7.5" customHeight="1" x14ac:dyDescent="0.35">
      <c r="B3" s="3"/>
      <c r="C3" s="4"/>
      <c r="D3" s="5"/>
    </row>
    <row r="4" spans="1:4" ht="18.5" x14ac:dyDescent="0.45">
      <c r="B4" s="6" t="s">
        <v>1</v>
      </c>
      <c r="C4" s="46" t="s">
        <v>2</v>
      </c>
      <c r="D4" s="7"/>
    </row>
    <row r="5" spans="1:4" ht="18.5" x14ac:dyDescent="0.45">
      <c r="B5" s="6" t="s">
        <v>3</v>
      </c>
      <c r="C5" s="47">
        <v>2040</v>
      </c>
      <c r="D5" s="7"/>
    </row>
    <row r="6" spans="1:4" ht="7.5" customHeight="1" x14ac:dyDescent="0.45">
      <c r="B6" s="8"/>
      <c r="C6" s="9"/>
      <c r="D6" s="7"/>
    </row>
    <row r="7" spans="1:4" ht="18.5" x14ac:dyDescent="0.45">
      <c r="B7" s="10" t="s">
        <v>4</v>
      </c>
      <c r="C7" s="11">
        <f>'Št. avtomobilov'!AA32</f>
        <v>229052</v>
      </c>
      <c r="D7" s="7"/>
    </row>
    <row r="8" spans="1:4" ht="30" x14ac:dyDescent="0.45">
      <c r="B8" s="10" t="s">
        <v>5</v>
      </c>
      <c r="C8" s="11">
        <f>ROUND(HLOOKUP($C$5,'Št. prevoženih km'!P1:W12,12,0),-1)</f>
        <v>17660</v>
      </c>
      <c r="D8" s="7"/>
    </row>
    <row r="9" spans="1:4" ht="30" x14ac:dyDescent="0.45">
      <c r="B9" s="10" t="s">
        <v>6</v>
      </c>
      <c r="C9" s="12">
        <f>ROUND(C7*C8/1000000,1)</f>
        <v>4045.1</v>
      </c>
      <c r="D9" s="7" t="s">
        <v>7</v>
      </c>
    </row>
    <row r="10" spans="1:4" ht="7.5" customHeight="1" x14ac:dyDescent="0.45">
      <c r="B10" s="10"/>
      <c r="C10" s="9"/>
      <c r="D10" s="7"/>
    </row>
    <row r="11" spans="1:4" ht="44.5" x14ac:dyDescent="0.45">
      <c r="B11" s="10" t="s">
        <v>8</v>
      </c>
      <c r="C11" s="13">
        <f>ROUND('Poraba energije'!Z63,3)</f>
        <v>0.29299999999999998</v>
      </c>
      <c r="D11" s="7" t="s">
        <v>9</v>
      </c>
    </row>
    <row r="12" spans="1:4" ht="30" x14ac:dyDescent="0.45">
      <c r="B12" s="10" t="s">
        <v>10</v>
      </c>
      <c r="C12" s="13">
        <f>ROUND('Poraba energije'!AD74,1)</f>
        <v>1212.3</v>
      </c>
      <c r="D12" s="7" t="s">
        <v>11</v>
      </c>
    </row>
    <row r="13" spans="1:4" ht="7.5" customHeight="1" x14ac:dyDescent="0.45">
      <c r="B13" s="10"/>
      <c r="C13" s="9"/>
      <c r="D13" s="7"/>
    </row>
    <row r="14" spans="1:4" ht="18.5" x14ac:dyDescent="0.45">
      <c r="B14" s="10" t="s">
        <v>12</v>
      </c>
      <c r="C14" s="14">
        <f>'Emisije CO2'!AB50</f>
        <v>57.595131628735331</v>
      </c>
      <c r="D14" s="7" t="s">
        <v>13</v>
      </c>
    </row>
    <row r="15" spans="1:4" ht="18.5" x14ac:dyDescent="0.45">
      <c r="B15" s="15" t="s">
        <v>14</v>
      </c>
      <c r="C15" s="16">
        <f>ROUND('Emisije CO2'!AC50,1)</f>
        <v>232975.7</v>
      </c>
      <c r="D15" s="17" t="s">
        <v>15</v>
      </c>
    </row>
    <row r="16" spans="1:4" ht="7.5" customHeight="1" x14ac:dyDescent="0.45">
      <c r="B16" s="18"/>
      <c r="C16" s="13"/>
    </row>
    <row r="17" spans="2:4" ht="17.149999999999999" customHeight="1" x14ac:dyDescent="0.35">
      <c r="B17" s="19" t="s">
        <v>16</v>
      </c>
      <c r="C17" s="20"/>
      <c r="D17" s="21"/>
    </row>
    <row r="18" spans="2:4" ht="30" x14ac:dyDescent="0.45">
      <c r="B18" s="22" t="s">
        <v>5</v>
      </c>
      <c r="C18" s="47">
        <v>18000</v>
      </c>
      <c r="D18" s="23" t="s">
        <v>17</v>
      </c>
    </row>
    <row r="19" spans="2:4" ht="30" x14ac:dyDescent="0.45">
      <c r="B19" s="24" t="s">
        <v>6</v>
      </c>
      <c r="C19" s="25">
        <f>ROUND(C7*C18/1000000,0)</f>
        <v>4123</v>
      </c>
      <c r="D19" s="23" t="s">
        <v>7</v>
      </c>
    </row>
    <row r="20" spans="2:4" ht="44.5" x14ac:dyDescent="0.45">
      <c r="B20" s="26" t="s">
        <v>8</v>
      </c>
      <c r="C20" s="25">
        <f>ROUND('Poraba energije'!Z63*C18/C8,3)</f>
        <v>0.29899999999999999</v>
      </c>
      <c r="D20" s="23" t="s">
        <v>9</v>
      </c>
    </row>
    <row r="21" spans="2:4" ht="30" x14ac:dyDescent="0.45">
      <c r="B21" s="24" t="s">
        <v>10</v>
      </c>
      <c r="C21" s="25">
        <f>ROUND('Poraba energije'!Z63*C18/C8*C18*C7/1000000,1)</f>
        <v>1231.7</v>
      </c>
      <c r="D21" s="45" t="s">
        <v>11</v>
      </c>
    </row>
    <row r="22" spans="2:4" ht="18.5" x14ac:dyDescent="0.45">
      <c r="B22" s="27" t="s">
        <v>14</v>
      </c>
      <c r="C22" s="28">
        <f>ROUND('Emisije CO2'!AC50/C8*C18,1)</f>
        <v>237461</v>
      </c>
      <c r="D22" s="29" t="s">
        <v>15</v>
      </c>
    </row>
    <row r="23" spans="2:4" x14ac:dyDescent="0.35"/>
    <row r="24" spans="2:4" x14ac:dyDescent="0.35"/>
    <row r="25" spans="2:4" x14ac:dyDescent="0.35"/>
    <row r="26" spans="2:4" x14ac:dyDescent="0.35"/>
    <row r="27" spans="2:4" x14ac:dyDescent="0.35"/>
    <row r="28" spans="2:4" x14ac:dyDescent="0.35"/>
    <row r="29" spans="2:4" x14ac:dyDescent="0.35"/>
    <row r="30" spans="2:4" x14ac:dyDescent="0.35"/>
    <row r="31" spans="2:4" x14ac:dyDescent="0.35"/>
    <row r="32" spans="2:4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</sheetData>
  <sheetProtection algorithmName="SHA-512" hashValue="BPNXRoUX2Uu4HJu9GGbdruqmKOs36egDgYYecanPM+Gmtzx7jiJRDT9YRQpLFqCjHWFtC1RI0Q6NprEbMWwtaA==" saltValue="qyTIkeKXOwz2rlpXtQQafw==" spinCount="100000" sheet="1" selectLockedCells="1"/>
  <pageMargins left="0.7" right="0.7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'Št. avtomobilov'!$P$1:$W$1</xm:f>
          </x14:formula1>
          <xm:sqref>C5</xm:sqref>
        </x14:dataValidation>
        <x14:dataValidation type="list" allowBlank="1" showInputMessage="1" showErrorMessage="1" xr:uid="{00000000-0002-0000-0000-000001000000}">
          <x14:formula1>
            <xm:f>'Št. avtomobilov po  občinah'!$A$2:$A$214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'Št. prevoženih km'!$Z$2:$Z$16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D214"/>
  <sheetViews>
    <sheetView workbookViewId="0">
      <selection activeCell="X61" sqref="X61"/>
    </sheetView>
  </sheetViews>
  <sheetFormatPr defaultRowHeight="14.5" x14ac:dyDescent="0.35"/>
  <cols>
    <col min="1" max="1" width="28.7265625" bestFit="1" customWidth="1"/>
    <col min="2" max="2" width="7.81640625" bestFit="1" customWidth="1"/>
  </cols>
  <sheetData>
    <row r="1" spans="1:4" x14ac:dyDescent="0.35">
      <c r="B1" t="s">
        <v>18</v>
      </c>
    </row>
    <row r="2" spans="1:4" x14ac:dyDescent="0.35">
      <c r="A2" t="s">
        <v>19</v>
      </c>
      <c r="B2">
        <v>17143</v>
      </c>
      <c r="D2" s="30">
        <f>VLOOKUP(OsebnaVozila!$C$4,'Št. avtomobilov po  občinah'!A2:B214,2,0)</f>
        <v>216458</v>
      </c>
    </row>
    <row r="3" spans="1:4" x14ac:dyDescent="0.35">
      <c r="A3" t="s">
        <v>20</v>
      </c>
      <c r="B3">
        <v>2376</v>
      </c>
    </row>
    <row r="4" spans="1:4" x14ac:dyDescent="0.35">
      <c r="A4" t="s">
        <v>21</v>
      </c>
      <c r="B4">
        <v>3058</v>
      </c>
    </row>
    <row r="5" spans="1:4" x14ac:dyDescent="0.35">
      <c r="A5" t="s">
        <v>22</v>
      </c>
      <c r="B5">
        <v>6495</v>
      </c>
    </row>
    <row r="6" spans="1:4" x14ac:dyDescent="0.35">
      <c r="A6" t="s">
        <v>23</v>
      </c>
      <c r="B6">
        <v>2184</v>
      </c>
    </row>
    <row r="7" spans="1:4" x14ac:dyDescent="0.35">
      <c r="A7" t="s">
        <v>24</v>
      </c>
      <c r="B7">
        <v>1402</v>
      </c>
    </row>
    <row r="8" spans="1:4" x14ac:dyDescent="0.35">
      <c r="A8" t="s">
        <v>25</v>
      </c>
      <c r="B8">
        <v>6088</v>
      </c>
    </row>
    <row r="9" spans="1:4" x14ac:dyDescent="0.35">
      <c r="A9" t="s">
        <v>26</v>
      </c>
      <c r="B9">
        <v>1661</v>
      </c>
    </row>
    <row r="10" spans="1:4" x14ac:dyDescent="0.35">
      <c r="A10" t="s">
        <v>27</v>
      </c>
      <c r="B10">
        <v>4059</v>
      </c>
    </row>
    <row r="11" spans="1:4" x14ac:dyDescent="0.35">
      <c r="A11" t="s">
        <v>28</v>
      </c>
      <c r="B11">
        <v>3138</v>
      </c>
    </row>
    <row r="12" spans="1:4" x14ac:dyDescent="0.35">
      <c r="A12" t="s">
        <v>29</v>
      </c>
      <c r="B12">
        <v>2206</v>
      </c>
    </row>
    <row r="13" spans="1:4" x14ac:dyDescent="0.35">
      <c r="A13" t="s">
        <v>30</v>
      </c>
      <c r="B13">
        <v>4743</v>
      </c>
    </row>
    <row r="14" spans="1:4" x14ac:dyDescent="0.35">
      <c r="A14" t="s">
        <v>31</v>
      </c>
      <c r="B14">
        <v>5901</v>
      </c>
    </row>
    <row r="15" spans="1:4" x14ac:dyDescent="0.35">
      <c r="A15" t="s">
        <v>32</v>
      </c>
      <c r="B15">
        <v>9365</v>
      </c>
    </row>
    <row r="16" spans="1:4" x14ac:dyDescent="0.35">
      <c r="A16" t="s">
        <v>33</v>
      </c>
      <c r="B16">
        <v>20361</v>
      </c>
    </row>
    <row r="17" spans="1:2" x14ac:dyDescent="0.35">
      <c r="A17" t="s">
        <v>34</v>
      </c>
      <c r="B17">
        <v>1715</v>
      </c>
    </row>
    <row r="18" spans="1:2" x14ac:dyDescent="0.35">
      <c r="A18" t="s">
        <v>35</v>
      </c>
      <c r="B18">
        <v>43254</v>
      </c>
    </row>
    <row r="19" spans="1:2" x14ac:dyDescent="0.35">
      <c r="A19" t="s">
        <v>36</v>
      </c>
      <c r="B19">
        <v>7484</v>
      </c>
    </row>
    <row r="20" spans="1:2" x14ac:dyDescent="0.35">
      <c r="A20" t="s">
        <v>37</v>
      </c>
      <c r="B20">
        <v>10009</v>
      </c>
    </row>
    <row r="21" spans="1:2" x14ac:dyDescent="0.35">
      <c r="A21" t="s">
        <v>38</v>
      </c>
      <c r="B21">
        <v>3843</v>
      </c>
    </row>
    <row r="22" spans="1:2" x14ac:dyDescent="0.35">
      <c r="A22" t="s">
        <v>39</v>
      </c>
      <c r="B22">
        <v>1848</v>
      </c>
    </row>
    <row r="23" spans="1:2" x14ac:dyDescent="0.35">
      <c r="A23" t="s">
        <v>40</v>
      </c>
      <c r="B23">
        <v>1773</v>
      </c>
    </row>
    <row r="24" spans="1:2" x14ac:dyDescent="0.35">
      <c r="A24" t="s">
        <v>41</v>
      </c>
      <c r="B24">
        <v>3292</v>
      </c>
    </row>
    <row r="25" spans="1:2" x14ac:dyDescent="0.35">
      <c r="A25" t="s">
        <v>42</v>
      </c>
      <c r="B25">
        <v>2164</v>
      </c>
    </row>
    <row r="26" spans="1:2" x14ac:dyDescent="0.35">
      <c r="A26" t="s">
        <v>43</v>
      </c>
      <c r="B26">
        <v>12223</v>
      </c>
    </row>
    <row r="27" spans="1:2" x14ac:dyDescent="0.35">
      <c r="A27" t="s">
        <v>44</v>
      </c>
      <c r="B27">
        <v>2205</v>
      </c>
    </row>
    <row r="28" spans="1:2" x14ac:dyDescent="0.35">
      <c r="A28" t="s">
        <v>45</v>
      </c>
      <c r="B28">
        <v>3717</v>
      </c>
    </row>
    <row r="29" spans="1:2" x14ac:dyDescent="0.35">
      <c r="A29" t="s">
        <v>46</v>
      </c>
      <c r="B29">
        <v>930</v>
      </c>
    </row>
    <row r="30" spans="1:2" x14ac:dyDescent="0.35">
      <c r="A30" t="s">
        <v>47</v>
      </c>
      <c r="B30">
        <v>3358</v>
      </c>
    </row>
    <row r="31" spans="1:2" x14ac:dyDescent="0.35">
      <c r="A31" t="s">
        <v>48</v>
      </c>
      <c r="B31">
        <v>1719</v>
      </c>
    </row>
    <row r="32" spans="1:2" x14ac:dyDescent="0.35">
      <c r="A32" t="s">
        <v>49</v>
      </c>
      <c r="B32">
        <v>6274</v>
      </c>
    </row>
    <row r="33" spans="1:2" x14ac:dyDescent="0.35">
      <c r="A33" t="s">
        <v>50</v>
      </c>
      <c r="B33">
        <v>1042</v>
      </c>
    </row>
    <row r="34" spans="1:2" x14ac:dyDescent="0.35">
      <c r="A34" t="s">
        <v>51</v>
      </c>
      <c r="B34">
        <v>4789</v>
      </c>
    </row>
    <row r="35" spans="1:2" x14ac:dyDescent="0.35">
      <c r="A35" t="s">
        <v>52</v>
      </c>
      <c r="B35">
        <v>2791</v>
      </c>
    </row>
    <row r="36" spans="1:2" x14ac:dyDescent="0.35">
      <c r="A36" t="s">
        <v>53</v>
      </c>
      <c r="B36">
        <v>25958</v>
      </c>
    </row>
    <row r="37" spans="1:2" x14ac:dyDescent="0.35">
      <c r="A37" t="s">
        <v>54</v>
      </c>
      <c r="B37">
        <v>2256</v>
      </c>
    </row>
    <row r="38" spans="1:2" x14ac:dyDescent="0.35">
      <c r="A38" t="s">
        <v>55</v>
      </c>
      <c r="B38">
        <v>6857</v>
      </c>
    </row>
    <row r="39" spans="1:2" x14ac:dyDescent="0.35">
      <c r="A39" t="s">
        <v>56</v>
      </c>
      <c r="B39">
        <v>5559</v>
      </c>
    </row>
    <row r="40" spans="1:2" x14ac:dyDescent="0.35">
      <c r="A40" t="s">
        <v>57</v>
      </c>
      <c r="B40">
        <v>6153</v>
      </c>
    </row>
    <row r="41" spans="1:2" x14ac:dyDescent="0.35">
      <c r="A41" t="s">
        <v>58</v>
      </c>
      <c r="B41">
        <v>3594</v>
      </c>
    </row>
    <row r="42" spans="1:2" x14ac:dyDescent="0.35">
      <c r="A42" t="s">
        <v>59</v>
      </c>
      <c r="B42">
        <v>2327</v>
      </c>
    </row>
    <row r="43" spans="1:2" x14ac:dyDescent="0.35">
      <c r="A43" t="s">
        <v>60</v>
      </c>
      <c r="B43">
        <v>6934</v>
      </c>
    </row>
    <row r="44" spans="1:2" x14ac:dyDescent="0.35">
      <c r="A44" t="s">
        <v>61</v>
      </c>
      <c r="B44">
        <v>1997</v>
      </c>
    </row>
    <row r="45" spans="1:2" x14ac:dyDescent="0.35">
      <c r="A45" t="s">
        <v>62</v>
      </c>
      <c r="B45">
        <v>2037</v>
      </c>
    </row>
    <row r="46" spans="1:2" x14ac:dyDescent="0.35">
      <c r="A46" t="s">
        <v>63</v>
      </c>
      <c r="B46">
        <v>1956</v>
      </c>
    </row>
    <row r="47" spans="1:2" x14ac:dyDescent="0.35">
      <c r="A47" t="s">
        <v>64</v>
      </c>
      <c r="B47">
        <v>16573</v>
      </c>
    </row>
    <row r="48" spans="1:2" x14ac:dyDescent="0.35">
      <c r="A48" t="s">
        <v>65</v>
      </c>
      <c r="B48">
        <v>3317</v>
      </c>
    </row>
    <row r="49" spans="1:2" x14ac:dyDescent="0.35">
      <c r="A49" t="s">
        <v>66</v>
      </c>
      <c r="B49">
        <v>8889</v>
      </c>
    </row>
    <row r="50" spans="1:2" x14ac:dyDescent="0.35">
      <c r="A50" t="s">
        <v>67</v>
      </c>
      <c r="B50">
        <v>290</v>
      </c>
    </row>
    <row r="51" spans="1:2" x14ac:dyDescent="0.35">
      <c r="A51" t="s">
        <v>68</v>
      </c>
      <c r="B51">
        <v>2503</v>
      </c>
    </row>
    <row r="52" spans="1:2" x14ac:dyDescent="0.35">
      <c r="A52" t="s">
        <v>69</v>
      </c>
      <c r="B52">
        <v>5989</v>
      </c>
    </row>
    <row r="53" spans="1:2" x14ac:dyDescent="0.35">
      <c r="A53" t="s">
        <v>70</v>
      </c>
      <c r="B53">
        <v>4409</v>
      </c>
    </row>
    <row r="54" spans="1:2" x14ac:dyDescent="0.35">
      <c r="A54" t="s">
        <v>71</v>
      </c>
      <c r="B54">
        <v>8951</v>
      </c>
    </row>
    <row r="55" spans="1:2" x14ac:dyDescent="0.35">
      <c r="A55" t="s">
        <v>72</v>
      </c>
      <c r="B55">
        <v>5722</v>
      </c>
    </row>
    <row r="56" spans="1:2" x14ac:dyDescent="0.35">
      <c r="A56" t="s">
        <v>73</v>
      </c>
      <c r="B56">
        <v>12815</v>
      </c>
    </row>
    <row r="57" spans="1:2" x14ac:dyDescent="0.35">
      <c r="A57" t="s">
        <v>74</v>
      </c>
      <c r="B57">
        <v>14799</v>
      </c>
    </row>
    <row r="58" spans="1:2" x14ac:dyDescent="0.35">
      <c r="A58" t="s">
        <v>75</v>
      </c>
      <c r="B58">
        <v>11975</v>
      </c>
    </row>
    <row r="59" spans="1:2" x14ac:dyDescent="0.35">
      <c r="A59" t="s">
        <v>76</v>
      </c>
      <c r="B59">
        <v>12950</v>
      </c>
    </row>
    <row r="60" spans="1:2" x14ac:dyDescent="0.35">
      <c r="A60" t="s">
        <v>77</v>
      </c>
      <c r="B60">
        <v>496</v>
      </c>
    </row>
    <row r="61" spans="1:2" x14ac:dyDescent="0.35">
      <c r="A61" t="s">
        <v>78</v>
      </c>
      <c r="B61">
        <v>2014</v>
      </c>
    </row>
    <row r="62" spans="1:2" x14ac:dyDescent="0.35">
      <c r="A62" t="s">
        <v>79</v>
      </c>
      <c r="B62">
        <v>21067</v>
      </c>
    </row>
    <row r="63" spans="1:2" x14ac:dyDescent="0.35">
      <c r="A63" t="s">
        <v>80</v>
      </c>
      <c r="B63">
        <v>4498</v>
      </c>
    </row>
    <row r="64" spans="1:2" x14ac:dyDescent="0.35">
      <c r="A64" t="s">
        <v>81</v>
      </c>
      <c r="B64">
        <v>5809</v>
      </c>
    </row>
    <row r="65" spans="1:2" x14ac:dyDescent="0.35">
      <c r="A65" t="s">
        <v>82</v>
      </c>
      <c r="B65">
        <v>3251</v>
      </c>
    </row>
    <row r="66" spans="1:2" x14ac:dyDescent="0.35">
      <c r="A66" t="s">
        <v>83</v>
      </c>
      <c r="B66">
        <v>468</v>
      </c>
    </row>
    <row r="67" spans="1:2" x14ac:dyDescent="0.35">
      <c r="A67" t="s">
        <v>84</v>
      </c>
      <c r="B67">
        <v>10501</v>
      </c>
    </row>
    <row r="68" spans="1:2" x14ac:dyDescent="0.35">
      <c r="A68" t="s">
        <v>85</v>
      </c>
      <c r="B68">
        <v>3664</v>
      </c>
    </row>
    <row r="69" spans="1:2" x14ac:dyDescent="0.35">
      <c r="A69" t="s">
        <v>86</v>
      </c>
      <c r="B69">
        <v>5300</v>
      </c>
    </row>
    <row r="70" spans="1:2" x14ac:dyDescent="0.35">
      <c r="A70" t="s">
        <v>87</v>
      </c>
      <c r="B70">
        <v>44600</v>
      </c>
    </row>
    <row r="71" spans="1:2" x14ac:dyDescent="0.35">
      <c r="A71" t="s">
        <v>88</v>
      </c>
      <c r="B71">
        <v>2237</v>
      </c>
    </row>
    <row r="72" spans="1:2" x14ac:dyDescent="0.35">
      <c r="A72" t="s">
        <v>89</v>
      </c>
      <c r="B72">
        <v>493</v>
      </c>
    </row>
    <row r="73" spans="1:2" x14ac:dyDescent="0.35">
      <c r="A73" t="s">
        <v>90</v>
      </c>
      <c r="B73">
        <v>2987</v>
      </c>
    </row>
    <row r="74" spans="1:2" x14ac:dyDescent="0.35">
      <c r="A74" t="s">
        <v>91</v>
      </c>
      <c r="B74">
        <v>40383</v>
      </c>
    </row>
    <row r="75" spans="1:2" x14ac:dyDescent="0.35">
      <c r="A75" t="s">
        <v>92</v>
      </c>
      <c r="B75">
        <v>4079</v>
      </c>
    </row>
    <row r="76" spans="1:2" x14ac:dyDescent="0.35">
      <c r="A76" t="s">
        <v>93</v>
      </c>
      <c r="B76">
        <v>3164</v>
      </c>
    </row>
    <row r="77" spans="1:2" x14ac:dyDescent="0.35">
      <c r="A77" t="s">
        <v>94</v>
      </c>
      <c r="B77">
        <v>21883</v>
      </c>
    </row>
    <row r="78" spans="1:2" x14ac:dyDescent="0.35">
      <c r="A78" t="s">
        <v>95</v>
      </c>
      <c r="B78">
        <v>3846</v>
      </c>
    </row>
    <row r="79" spans="1:2" x14ac:dyDescent="0.35">
      <c r="A79" t="s">
        <v>96</v>
      </c>
      <c r="B79">
        <v>1355</v>
      </c>
    </row>
    <row r="80" spans="1:2" x14ac:dyDescent="0.35">
      <c r="A80" t="s">
        <v>97</v>
      </c>
      <c r="B80">
        <v>10663</v>
      </c>
    </row>
    <row r="81" spans="1:2" x14ac:dyDescent="0.35">
      <c r="A81" t="s">
        <v>98</v>
      </c>
      <c r="B81">
        <v>6530</v>
      </c>
    </row>
    <row r="82" spans="1:2" x14ac:dyDescent="0.35">
      <c r="A82" t="s">
        <v>99</v>
      </c>
      <c r="B82">
        <v>8211</v>
      </c>
    </row>
    <row r="83" spans="1:2" x14ac:dyDescent="0.35">
      <c r="A83" t="s">
        <v>100</v>
      </c>
      <c r="B83">
        <v>11505</v>
      </c>
    </row>
    <row r="84" spans="1:2" x14ac:dyDescent="0.35">
      <c r="A84" t="s">
        <v>2</v>
      </c>
      <c r="B84">
        <v>216458</v>
      </c>
    </row>
    <row r="85" spans="1:2" x14ac:dyDescent="0.35">
      <c r="A85" t="s">
        <v>101</v>
      </c>
      <c r="B85">
        <v>2380</v>
      </c>
    </row>
    <row r="86" spans="1:2" x14ac:dyDescent="0.35">
      <c r="A86" t="s">
        <v>102</v>
      </c>
      <c r="B86">
        <v>9937</v>
      </c>
    </row>
    <row r="87" spans="1:2" x14ac:dyDescent="0.35">
      <c r="A87" t="s">
        <v>103</v>
      </c>
      <c r="B87">
        <v>2753</v>
      </c>
    </row>
    <row r="88" spans="1:2" x14ac:dyDescent="0.35">
      <c r="A88" t="s">
        <v>104</v>
      </c>
      <c r="B88">
        <v>10956</v>
      </c>
    </row>
    <row r="89" spans="1:2" x14ac:dyDescent="0.35">
      <c r="A89" t="s">
        <v>105</v>
      </c>
      <c r="B89">
        <v>3283</v>
      </c>
    </row>
    <row r="90" spans="1:2" x14ac:dyDescent="0.35">
      <c r="A90" t="s">
        <v>106</v>
      </c>
      <c r="B90">
        <v>1670</v>
      </c>
    </row>
    <row r="91" spans="1:2" x14ac:dyDescent="0.35">
      <c r="A91" t="s">
        <v>107</v>
      </c>
      <c r="B91">
        <v>2233</v>
      </c>
    </row>
    <row r="92" spans="1:2" x14ac:dyDescent="0.35">
      <c r="A92" t="s">
        <v>108</v>
      </c>
      <c r="B92">
        <v>1258</v>
      </c>
    </row>
    <row r="93" spans="1:2" x14ac:dyDescent="0.35">
      <c r="A93" t="s">
        <v>109</v>
      </c>
      <c r="B93">
        <v>5109</v>
      </c>
    </row>
    <row r="94" spans="1:2" x14ac:dyDescent="0.35">
      <c r="A94" t="s">
        <v>110</v>
      </c>
      <c r="B94">
        <v>3420</v>
      </c>
    </row>
    <row r="95" spans="1:2" x14ac:dyDescent="0.35">
      <c r="A95" t="s">
        <v>111</v>
      </c>
      <c r="B95">
        <v>1833</v>
      </c>
    </row>
    <row r="96" spans="1:2" x14ac:dyDescent="0.35">
      <c r="A96" t="s">
        <v>112</v>
      </c>
      <c r="B96">
        <v>72412</v>
      </c>
    </row>
    <row r="97" spans="1:2" x14ac:dyDescent="0.35">
      <c r="A97" t="s">
        <v>113</v>
      </c>
      <c r="B97">
        <v>3393</v>
      </c>
    </row>
    <row r="98" spans="1:2" x14ac:dyDescent="0.35">
      <c r="A98" t="s">
        <v>114</v>
      </c>
      <c r="B98">
        <v>11953</v>
      </c>
    </row>
    <row r="99" spans="1:2" x14ac:dyDescent="0.35">
      <c r="A99" t="s">
        <v>115</v>
      </c>
      <c r="B99">
        <v>6194</v>
      </c>
    </row>
    <row r="100" spans="1:2" x14ac:dyDescent="0.35">
      <c r="A100" t="s">
        <v>116</v>
      </c>
      <c r="B100">
        <v>7028</v>
      </c>
    </row>
    <row r="101" spans="1:2" x14ac:dyDescent="0.35">
      <c r="A101" t="s">
        <v>117</v>
      </c>
      <c r="B101">
        <v>2407</v>
      </c>
    </row>
    <row r="102" spans="1:2" x14ac:dyDescent="0.35">
      <c r="A102" t="s">
        <v>118</v>
      </c>
      <c r="B102">
        <v>4977</v>
      </c>
    </row>
    <row r="103" spans="1:2" x14ac:dyDescent="0.35">
      <c r="A103" t="s">
        <v>119</v>
      </c>
      <c r="B103">
        <v>4370</v>
      </c>
    </row>
    <row r="104" spans="1:2" x14ac:dyDescent="0.35">
      <c r="A104" t="s">
        <v>120</v>
      </c>
      <c r="B104">
        <v>2233</v>
      </c>
    </row>
    <row r="105" spans="1:2" x14ac:dyDescent="0.35">
      <c r="A105" t="s">
        <v>121</v>
      </c>
      <c r="B105">
        <v>2671</v>
      </c>
    </row>
    <row r="106" spans="1:2" x14ac:dyDescent="0.35">
      <c r="A106" t="s">
        <v>122</v>
      </c>
      <c r="B106">
        <v>3642</v>
      </c>
    </row>
    <row r="107" spans="1:2" x14ac:dyDescent="0.35">
      <c r="A107" t="s">
        <v>123</v>
      </c>
      <c r="B107">
        <v>2905</v>
      </c>
    </row>
    <row r="108" spans="1:2" x14ac:dyDescent="0.35">
      <c r="A108" t="s">
        <v>124</v>
      </c>
      <c r="B108">
        <v>4424</v>
      </c>
    </row>
    <row r="109" spans="1:2" x14ac:dyDescent="0.35">
      <c r="A109" t="s">
        <v>125</v>
      </c>
      <c r="B109">
        <v>5435</v>
      </c>
    </row>
    <row r="110" spans="1:2" x14ac:dyDescent="0.35">
      <c r="A110" t="s">
        <v>126</v>
      </c>
      <c r="B110">
        <v>3310</v>
      </c>
    </row>
    <row r="111" spans="1:2" x14ac:dyDescent="0.35">
      <c r="A111" t="s">
        <v>127</v>
      </c>
      <c r="B111">
        <v>13861</v>
      </c>
    </row>
    <row r="112" spans="1:2" x14ac:dyDescent="0.35">
      <c r="A112" t="s">
        <v>128</v>
      </c>
      <c r="B112">
        <v>2721</v>
      </c>
    </row>
    <row r="113" spans="1:2" x14ac:dyDescent="0.35">
      <c r="A113" t="s">
        <v>129</v>
      </c>
      <c r="B113">
        <v>4529</v>
      </c>
    </row>
    <row r="114" spans="1:2" x14ac:dyDescent="0.35">
      <c r="A114" t="s">
        <v>130</v>
      </c>
      <c r="B114">
        <v>2320</v>
      </c>
    </row>
    <row r="115" spans="1:2" x14ac:dyDescent="0.35">
      <c r="A115" t="s">
        <v>131</v>
      </c>
      <c r="B115">
        <v>26540</v>
      </c>
    </row>
    <row r="116" spans="1:2" x14ac:dyDescent="0.35">
      <c r="A116" t="s">
        <v>132</v>
      </c>
      <c r="B116">
        <v>29145</v>
      </c>
    </row>
    <row r="117" spans="1:2" x14ac:dyDescent="0.35">
      <c r="A117" t="s">
        <v>133</v>
      </c>
      <c r="B117">
        <v>1240</v>
      </c>
    </row>
    <row r="118" spans="1:2" x14ac:dyDescent="0.35">
      <c r="A118" t="s">
        <v>134</v>
      </c>
      <c r="B118">
        <v>3570</v>
      </c>
    </row>
    <row r="119" spans="1:2" x14ac:dyDescent="0.35">
      <c r="A119" t="s">
        <v>135</v>
      </c>
      <c r="B119">
        <v>10790</v>
      </c>
    </row>
    <row r="120" spans="1:2" x14ac:dyDescent="0.35">
      <c r="A120" t="s">
        <v>136</v>
      </c>
      <c r="B120">
        <v>259</v>
      </c>
    </row>
    <row r="121" spans="1:2" x14ac:dyDescent="0.35">
      <c r="A121" t="s">
        <v>137</v>
      </c>
      <c r="B121">
        <v>6029</v>
      </c>
    </row>
    <row r="122" spans="1:2" x14ac:dyDescent="0.35">
      <c r="A122" t="s">
        <v>138</v>
      </c>
      <c r="B122">
        <v>13525</v>
      </c>
    </row>
    <row r="123" spans="1:2" x14ac:dyDescent="0.35">
      <c r="A123" t="s">
        <v>139</v>
      </c>
      <c r="B123">
        <v>5868</v>
      </c>
    </row>
    <row r="124" spans="1:2" x14ac:dyDescent="0.35">
      <c r="A124" t="s">
        <v>140</v>
      </c>
      <c r="B124">
        <v>3315</v>
      </c>
    </row>
    <row r="125" spans="1:2" x14ac:dyDescent="0.35">
      <c r="A125" t="s">
        <v>141</v>
      </c>
      <c r="B125">
        <v>1576</v>
      </c>
    </row>
    <row r="126" spans="1:2" x14ac:dyDescent="0.35">
      <c r="A126" t="s">
        <v>142</v>
      </c>
      <c r="B126">
        <v>2088</v>
      </c>
    </row>
    <row r="127" spans="1:2" x14ac:dyDescent="0.35">
      <c r="A127" t="s">
        <v>143</v>
      </c>
      <c r="B127">
        <v>3216</v>
      </c>
    </row>
    <row r="128" spans="1:2" x14ac:dyDescent="0.35">
      <c r="A128" t="s">
        <v>144</v>
      </c>
      <c r="B128">
        <v>4679</v>
      </c>
    </row>
    <row r="129" spans="1:2" x14ac:dyDescent="0.35">
      <c r="A129" t="s">
        <v>145</v>
      </c>
      <c r="B129">
        <v>12720</v>
      </c>
    </row>
    <row r="130" spans="1:2" x14ac:dyDescent="0.35">
      <c r="A130" t="s">
        <v>146</v>
      </c>
      <c r="B130">
        <v>3868</v>
      </c>
    </row>
    <row r="131" spans="1:2" x14ac:dyDescent="0.35">
      <c r="A131" t="s">
        <v>147</v>
      </c>
      <c r="B131">
        <v>2792</v>
      </c>
    </row>
    <row r="132" spans="1:2" x14ac:dyDescent="0.35">
      <c r="A132" t="s">
        <v>148</v>
      </c>
      <c r="B132">
        <v>4809</v>
      </c>
    </row>
    <row r="133" spans="1:2" x14ac:dyDescent="0.35">
      <c r="A133" t="s">
        <v>149</v>
      </c>
      <c r="B133">
        <v>18110</v>
      </c>
    </row>
    <row r="134" spans="1:2" x14ac:dyDescent="0.35">
      <c r="A134" t="s">
        <v>150</v>
      </c>
      <c r="B134">
        <v>5625</v>
      </c>
    </row>
    <row r="135" spans="1:2" x14ac:dyDescent="0.35">
      <c r="A135" t="s">
        <v>151</v>
      </c>
      <c r="B135">
        <v>5921</v>
      </c>
    </row>
    <row r="136" spans="1:2" x14ac:dyDescent="0.35">
      <c r="A136" t="s">
        <v>152</v>
      </c>
      <c r="B136">
        <v>3201</v>
      </c>
    </row>
    <row r="137" spans="1:2" x14ac:dyDescent="0.35">
      <c r="A137" t="s">
        <v>153</v>
      </c>
      <c r="B137">
        <v>4141</v>
      </c>
    </row>
    <row r="138" spans="1:2" x14ac:dyDescent="0.35">
      <c r="A138" t="s">
        <v>154</v>
      </c>
      <c r="B138">
        <v>4692</v>
      </c>
    </row>
    <row r="139" spans="1:2" x14ac:dyDescent="0.35">
      <c r="A139" t="s">
        <v>155</v>
      </c>
      <c r="B139">
        <v>14092</v>
      </c>
    </row>
    <row r="140" spans="1:2" x14ac:dyDescent="0.35">
      <c r="A140" t="s">
        <v>156</v>
      </c>
      <c r="B140">
        <v>7992</v>
      </c>
    </row>
    <row r="141" spans="1:2" x14ac:dyDescent="0.35">
      <c r="A141" t="s">
        <v>157</v>
      </c>
      <c r="B141">
        <v>1050</v>
      </c>
    </row>
    <row r="142" spans="1:2" x14ac:dyDescent="0.35">
      <c r="A142" t="s">
        <v>158</v>
      </c>
      <c r="B142">
        <v>2318</v>
      </c>
    </row>
    <row r="143" spans="1:2" x14ac:dyDescent="0.35">
      <c r="A143" t="s">
        <v>159</v>
      </c>
      <c r="B143">
        <v>3959</v>
      </c>
    </row>
    <row r="144" spans="1:2" x14ac:dyDescent="0.35">
      <c r="A144" t="s">
        <v>160</v>
      </c>
      <c r="B144">
        <v>8553</v>
      </c>
    </row>
    <row r="145" spans="1:2" x14ac:dyDescent="0.35">
      <c r="A145" t="s">
        <v>161</v>
      </c>
      <c r="B145">
        <v>921</v>
      </c>
    </row>
    <row r="146" spans="1:2" x14ac:dyDescent="0.35">
      <c r="A146" t="s">
        <v>162</v>
      </c>
      <c r="B146">
        <v>9484</v>
      </c>
    </row>
    <row r="147" spans="1:2" x14ac:dyDescent="0.35">
      <c r="A147" t="s">
        <v>163</v>
      </c>
      <c r="B147">
        <v>2817</v>
      </c>
    </row>
    <row r="148" spans="1:2" x14ac:dyDescent="0.35">
      <c r="A148" t="s">
        <v>164</v>
      </c>
      <c r="B148">
        <v>2388</v>
      </c>
    </row>
    <row r="149" spans="1:2" x14ac:dyDescent="0.35">
      <c r="A149" t="s">
        <v>165</v>
      </c>
      <c r="B149">
        <v>4742</v>
      </c>
    </row>
    <row r="150" spans="1:2" x14ac:dyDescent="0.35">
      <c r="A150" t="s">
        <v>166</v>
      </c>
      <c r="B150">
        <v>3554</v>
      </c>
    </row>
    <row r="151" spans="1:2" x14ac:dyDescent="0.35">
      <c r="A151" t="s">
        <v>167</v>
      </c>
      <c r="B151">
        <v>3413</v>
      </c>
    </row>
    <row r="152" spans="1:2" x14ac:dyDescent="0.35">
      <c r="A152" t="s">
        <v>168</v>
      </c>
      <c r="B152">
        <v>14961</v>
      </c>
    </row>
    <row r="153" spans="1:2" x14ac:dyDescent="0.35">
      <c r="A153" t="s">
        <v>169</v>
      </c>
      <c r="B153">
        <v>12175</v>
      </c>
    </row>
    <row r="154" spans="1:2" x14ac:dyDescent="0.35">
      <c r="A154" t="s">
        <v>170</v>
      </c>
      <c r="B154">
        <v>13660</v>
      </c>
    </row>
    <row r="155" spans="1:2" x14ac:dyDescent="0.35">
      <c r="A155" t="s">
        <v>171</v>
      </c>
      <c r="B155">
        <v>20408</v>
      </c>
    </row>
    <row r="156" spans="1:2" x14ac:dyDescent="0.35">
      <c r="A156" t="s">
        <v>172</v>
      </c>
      <c r="B156">
        <v>12622</v>
      </c>
    </row>
    <row r="157" spans="1:2" x14ac:dyDescent="0.35">
      <c r="A157" t="s">
        <v>173</v>
      </c>
      <c r="B157">
        <v>1963</v>
      </c>
    </row>
    <row r="158" spans="1:2" x14ac:dyDescent="0.35">
      <c r="A158" t="s">
        <v>174</v>
      </c>
      <c r="B158">
        <v>453</v>
      </c>
    </row>
    <row r="159" spans="1:2" x14ac:dyDescent="0.35">
      <c r="A159" t="s">
        <v>175</v>
      </c>
      <c r="B159">
        <v>1786</v>
      </c>
    </row>
    <row r="160" spans="1:2" x14ac:dyDescent="0.35">
      <c r="A160" t="s">
        <v>176</v>
      </c>
      <c r="B160">
        <v>3288</v>
      </c>
    </row>
    <row r="161" spans="1:2" x14ac:dyDescent="0.35">
      <c r="A161" t="s">
        <v>177</v>
      </c>
      <c r="B161">
        <v>3309</v>
      </c>
    </row>
    <row r="162" spans="1:2" x14ac:dyDescent="0.35">
      <c r="A162" t="s">
        <v>178</v>
      </c>
      <c r="B162">
        <v>2080</v>
      </c>
    </row>
    <row r="163" spans="1:2" x14ac:dyDescent="0.35">
      <c r="A163" t="s">
        <v>179</v>
      </c>
      <c r="B163">
        <v>2045</v>
      </c>
    </row>
    <row r="164" spans="1:2" x14ac:dyDescent="0.35">
      <c r="A164" t="s">
        <v>180</v>
      </c>
      <c r="B164">
        <v>1131</v>
      </c>
    </row>
    <row r="165" spans="1:2" x14ac:dyDescent="0.35">
      <c r="A165" t="s">
        <v>181</v>
      </c>
      <c r="B165">
        <v>2787</v>
      </c>
    </row>
    <row r="166" spans="1:2" x14ac:dyDescent="0.35">
      <c r="A166" t="s">
        <v>182</v>
      </c>
      <c r="B166">
        <v>1806</v>
      </c>
    </row>
    <row r="167" spans="1:2" x14ac:dyDescent="0.35">
      <c r="A167" t="s">
        <v>183</v>
      </c>
      <c r="B167">
        <v>1937</v>
      </c>
    </row>
    <row r="168" spans="1:2" x14ac:dyDescent="0.35">
      <c r="A168" t="s">
        <v>184</v>
      </c>
      <c r="B168">
        <v>1462</v>
      </c>
    </row>
    <row r="169" spans="1:2" x14ac:dyDescent="0.35">
      <c r="A169" t="s">
        <v>185</v>
      </c>
      <c r="B169">
        <v>5891</v>
      </c>
    </row>
    <row r="170" spans="1:2" x14ac:dyDescent="0.35">
      <c r="A170" t="s">
        <v>186</v>
      </c>
      <c r="B170">
        <v>7900</v>
      </c>
    </row>
    <row r="171" spans="1:2" x14ac:dyDescent="0.35">
      <c r="A171" t="s">
        <v>187</v>
      </c>
      <c r="B171">
        <v>6374</v>
      </c>
    </row>
    <row r="172" spans="1:2" x14ac:dyDescent="0.35">
      <c r="A172" t="s">
        <v>188</v>
      </c>
      <c r="B172">
        <v>6516</v>
      </c>
    </row>
    <row r="173" spans="1:2" x14ac:dyDescent="0.35">
      <c r="A173" t="s">
        <v>189</v>
      </c>
      <c r="B173">
        <v>16432</v>
      </c>
    </row>
    <row r="174" spans="1:2" x14ac:dyDescent="0.35">
      <c r="A174" t="s">
        <v>190</v>
      </c>
      <c r="B174">
        <v>2289</v>
      </c>
    </row>
    <row r="175" spans="1:2" x14ac:dyDescent="0.35">
      <c r="A175" t="s">
        <v>191</v>
      </c>
      <c r="B175">
        <v>3234</v>
      </c>
    </row>
    <row r="176" spans="1:2" x14ac:dyDescent="0.35">
      <c r="A176" t="s">
        <v>192</v>
      </c>
      <c r="B176">
        <v>17782</v>
      </c>
    </row>
    <row r="177" spans="1:2" x14ac:dyDescent="0.35">
      <c r="A177" t="s">
        <v>193</v>
      </c>
      <c r="B177">
        <v>8002</v>
      </c>
    </row>
    <row r="178" spans="1:2" x14ac:dyDescent="0.35">
      <c r="A178" t="s">
        <v>194</v>
      </c>
      <c r="B178">
        <v>9021</v>
      </c>
    </row>
    <row r="179" spans="1:2" x14ac:dyDescent="0.35">
      <c r="A179" t="s">
        <v>195</v>
      </c>
      <c r="B179">
        <v>3068</v>
      </c>
    </row>
    <row r="180" spans="1:2" x14ac:dyDescent="0.35">
      <c r="A180" t="s">
        <v>196</v>
      </c>
      <c r="B180">
        <v>2598</v>
      </c>
    </row>
    <row r="181" spans="1:2" x14ac:dyDescent="0.35">
      <c r="A181" t="s">
        <v>197</v>
      </c>
      <c r="B181">
        <v>4650</v>
      </c>
    </row>
    <row r="182" spans="1:2" x14ac:dyDescent="0.35">
      <c r="A182" t="s">
        <v>198</v>
      </c>
      <c r="B182">
        <v>6779</v>
      </c>
    </row>
    <row r="183" spans="1:2" x14ac:dyDescent="0.35">
      <c r="A183" t="s">
        <v>199</v>
      </c>
      <c r="B183">
        <v>3268</v>
      </c>
    </row>
    <row r="184" spans="1:2" x14ac:dyDescent="0.35">
      <c r="A184" t="s">
        <v>200</v>
      </c>
      <c r="B184">
        <v>1463</v>
      </c>
    </row>
    <row r="185" spans="1:2" x14ac:dyDescent="0.35">
      <c r="A185" t="s">
        <v>201</v>
      </c>
      <c r="B185">
        <v>3492</v>
      </c>
    </row>
    <row r="186" spans="1:2" x14ac:dyDescent="0.35">
      <c r="A186" t="s">
        <v>202</v>
      </c>
      <c r="B186">
        <v>9234</v>
      </c>
    </row>
    <row r="187" spans="1:2" x14ac:dyDescent="0.35">
      <c r="A187" t="s">
        <v>203</v>
      </c>
      <c r="B187">
        <v>11010</v>
      </c>
    </row>
    <row r="188" spans="1:2" x14ac:dyDescent="0.35">
      <c r="A188" t="s">
        <v>204</v>
      </c>
      <c r="B188">
        <v>11995</v>
      </c>
    </row>
    <row r="189" spans="1:2" x14ac:dyDescent="0.35">
      <c r="A189" t="s">
        <v>205</v>
      </c>
      <c r="B189">
        <v>1232</v>
      </c>
    </row>
    <row r="190" spans="1:2" x14ac:dyDescent="0.35">
      <c r="A190" t="s">
        <v>206</v>
      </c>
      <c r="B190">
        <v>5238</v>
      </c>
    </row>
    <row r="191" spans="1:2" x14ac:dyDescent="0.35">
      <c r="A191" t="s">
        <v>207</v>
      </c>
      <c r="B191">
        <v>10839</v>
      </c>
    </row>
    <row r="192" spans="1:2" x14ac:dyDescent="0.35">
      <c r="A192" t="s">
        <v>208</v>
      </c>
      <c r="B192">
        <v>2556</v>
      </c>
    </row>
    <row r="193" spans="1:2" x14ac:dyDescent="0.35">
      <c r="A193" t="s">
        <v>209</v>
      </c>
      <c r="B193">
        <v>21350</v>
      </c>
    </row>
    <row r="194" spans="1:2" x14ac:dyDescent="0.35">
      <c r="A194" t="s">
        <v>210</v>
      </c>
      <c r="B194">
        <v>1331</v>
      </c>
    </row>
    <row r="195" spans="1:2" x14ac:dyDescent="0.35">
      <c r="A195" t="s">
        <v>211</v>
      </c>
      <c r="B195">
        <v>3758</v>
      </c>
    </row>
    <row r="196" spans="1:2" x14ac:dyDescent="0.35">
      <c r="A196" t="s">
        <v>212</v>
      </c>
      <c r="B196">
        <v>1167</v>
      </c>
    </row>
    <row r="197" spans="1:2" x14ac:dyDescent="0.35">
      <c r="A197" t="s">
        <v>213</v>
      </c>
      <c r="B197">
        <v>4710</v>
      </c>
    </row>
    <row r="198" spans="1:2" x14ac:dyDescent="0.35">
      <c r="A198" t="s">
        <v>214</v>
      </c>
      <c r="B198">
        <v>5185</v>
      </c>
    </row>
    <row r="199" spans="1:2" x14ac:dyDescent="0.35">
      <c r="A199" t="s">
        <v>215</v>
      </c>
      <c r="B199">
        <v>1883</v>
      </c>
    </row>
    <row r="200" spans="1:2" x14ac:dyDescent="0.35">
      <c r="A200" t="s">
        <v>216</v>
      </c>
      <c r="B200">
        <v>4371</v>
      </c>
    </row>
    <row r="201" spans="1:2" x14ac:dyDescent="0.35">
      <c r="A201" t="s">
        <v>217</v>
      </c>
      <c r="B201">
        <v>7473</v>
      </c>
    </row>
    <row r="202" spans="1:2" x14ac:dyDescent="0.35">
      <c r="A202" t="s">
        <v>218</v>
      </c>
      <c r="B202">
        <v>2437</v>
      </c>
    </row>
    <row r="203" spans="1:2" x14ac:dyDescent="0.35">
      <c r="A203" t="s">
        <v>219</v>
      </c>
      <c r="B203">
        <v>12878</v>
      </c>
    </row>
    <row r="204" spans="1:2" x14ac:dyDescent="0.35">
      <c r="A204" t="s">
        <v>220</v>
      </c>
      <c r="B204">
        <v>2116</v>
      </c>
    </row>
    <row r="205" spans="1:2" x14ac:dyDescent="0.35">
      <c r="A205" t="s">
        <v>221</v>
      </c>
      <c r="B205">
        <v>11815</v>
      </c>
    </row>
    <row r="206" spans="1:2" x14ac:dyDescent="0.35">
      <c r="A206" t="s">
        <v>222</v>
      </c>
      <c r="B206">
        <v>1211</v>
      </c>
    </row>
    <row r="207" spans="1:2" x14ac:dyDescent="0.35">
      <c r="A207" t="s">
        <v>223</v>
      </c>
      <c r="B207">
        <v>5662</v>
      </c>
    </row>
    <row r="208" spans="1:2" x14ac:dyDescent="0.35">
      <c r="A208" t="s">
        <v>224</v>
      </c>
      <c r="B208">
        <v>17321</v>
      </c>
    </row>
    <row r="209" spans="1:2" x14ac:dyDescent="0.35">
      <c r="A209" t="s">
        <v>225</v>
      </c>
      <c r="B209">
        <v>5042</v>
      </c>
    </row>
    <row r="210" spans="1:2" x14ac:dyDescent="0.35">
      <c r="A210" t="s">
        <v>226</v>
      </c>
      <c r="B210">
        <v>1160</v>
      </c>
    </row>
    <row r="211" spans="1:2" x14ac:dyDescent="0.35">
      <c r="A211" t="s">
        <v>227</v>
      </c>
      <c r="B211">
        <v>3845</v>
      </c>
    </row>
    <row r="212" spans="1:2" x14ac:dyDescent="0.35">
      <c r="A212" t="s">
        <v>228</v>
      </c>
      <c r="B212">
        <v>3453</v>
      </c>
    </row>
    <row r="213" spans="1:2" x14ac:dyDescent="0.35">
      <c r="A213" t="s">
        <v>229</v>
      </c>
      <c r="B213">
        <v>4184</v>
      </c>
    </row>
    <row r="214" spans="1:2" x14ac:dyDescent="0.35">
      <c r="A214" t="s">
        <v>230</v>
      </c>
      <c r="B214">
        <v>1644589</v>
      </c>
    </row>
  </sheetData>
  <sortState ref="A2:B218">
    <sortCondition ref="A2:A218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AA32"/>
  <sheetViews>
    <sheetView workbookViewId="0">
      <selection activeCell="X61" sqref="X61"/>
    </sheetView>
  </sheetViews>
  <sheetFormatPr defaultRowHeight="14.5" x14ac:dyDescent="0.35"/>
  <cols>
    <col min="4" max="7" width="8.7265625" hidden="1" bestFit="1" customWidth="1"/>
    <col min="9" max="12" width="8.7265625" hidden="1" bestFit="1" customWidth="1"/>
    <col min="14" max="14" width="8.7265625" hidden="1" bestFit="1" customWidth="1"/>
    <col min="15" max="15" width="8.7265625" bestFit="1" customWidth="1"/>
  </cols>
  <sheetData>
    <row r="1" spans="1:26" x14ac:dyDescent="0.35">
      <c r="C1" s="30">
        <v>2005</v>
      </c>
      <c r="D1" s="30">
        <v>2006</v>
      </c>
      <c r="E1" s="30">
        <v>2007</v>
      </c>
      <c r="F1" s="30">
        <v>2008</v>
      </c>
      <c r="G1" s="30">
        <v>2009</v>
      </c>
      <c r="H1" s="30">
        <v>2010</v>
      </c>
      <c r="I1" s="30">
        <v>2011</v>
      </c>
      <c r="J1" s="30">
        <v>2012</v>
      </c>
      <c r="K1" s="30">
        <v>2013</v>
      </c>
      <c r="L1" s="30">
        <v>2014</v>
      </c>
      <c r="M1" s="30">
        <v>2015</v>
      </c>
      <c r="N1" s="30">
        <v>2016</v>
      </c>
      <c r="O1" s="30">
        <v>2017</v>
      </c>
      <c r="P1" s="30">
        <v>2020</v>
      </c>
      <c r="Q1" s="30">
        <v>2025</v>
      </c>
      <c r="R1" s="30">
        <v>2030</v>
      </c>
      <c r="S1" s="30">
        <v>2035</v>
      </c>
      <c r="T1" s="30">
        <v>2040</v>
      </c>
      <c r="U1" s="30">
        <v>2045</v>
      </c>
      <c r="V1" s="30">
        <v>2050</v>
      </c>
      <c r="W1" s="30">
        <v>2055</v>
      </c>
      <c r="Z1">
        <f>OsebnaVozila!C5</f>
        <v>2040</v>
      </c>
    </row>
    <row r="2" spans="1:26" x14ac:dyDescent="0.35">
      <c r="B2" s="31" t="s">
        <v>231</v>
      </c>
      <c r="C2" s="32">
        <v>744517</v>
      </c>
      <c r="D2" s="32">
        <v>747567</v>
      </c>
      <c r="E2" s="32">
        <v>743372</v>
      </c>
      <c r="F2" s="32">
        <v>739618</v>
      </c>
      <c r="G2" s="32">
        <v>724570</v>
      </c>
      <c r="H2" s="32">
        <v>704334</v>
      </c>
      <c r="I2" s="32">
        <v>690420</v>
      </c>
      <c r="J2" s="32">
        <v>671003</v>
      </c>
      <c r="K2" s="32">
        <v>651081</v>
      </c>
      <c r="L2" s="32">
        <v>635368</v>
      </c>
      <c r="M2" s="32">
        <v>624429</v>
      </c>
      <c r="N2" s="32">
        <v>617828</v>
      </c>
      <c r="O2" s="32">
        <v>614980</v>
      </c>
      <c r="P2" s="32">
        <v>601235</v>
      </c>
      <c r="Q2" s="32">
        <v>548145</v>
      </c>
      <c r="R2" s="32">
        <v>437152</v>
      </c>
      <c r="S2" s="32">
        <v>286710</v>
      </c>
      <c r="T2" s="32">
        <v>134267</v>
      </c>
      <c r="U2" s="32">
        <v>36196</v>
      </c>
      <c r="V2" s="32">
        <v>11240</v>
      </c>
      <c r="W2" s="32">
        <v>4184</v>
      </c>
      <c r="Y2" s="31" t="s">
        <v>231</v>
      </c>
      <c r="Z2">
        <f t="shared" ref="Z2:Z9" si="0">HLOOKUP(Z1,$P1:W2,2,0)</f>
        <v>134267</v>
      </c>
    </row>
    <row r="3" spans="1:26" x14ac:dyDescent="0.35">
      <c r="B3" s="33" t="s">
        <v>232</v>
      </c>
      <c r="C3" s="32">
        <v>72</v>
      </c>
      <c r="D3" s="32">
        <v>119</v>
      </c>
      <c r="E3" s="32">
        <v>198</v>
      </c>
      <c r="F3" s="32">
        <v>285</v>
      </c>
      <c r="G3" s="32">
        <v>400</v>
      </c>
      <c r="H3" s="32">
        <v>510</v>
      </c>
      <c r="I3" s="32">
        <v>583</v>
      </c>
      <c r="J3" s="32">
        <v>670</v>
      </c>
      <c r="K3" s="32">
        <v>804</v>
      </c>
      <c r="L3" s="32">
        <v>1035</v>
      </c>
      <c r="M3" s="32">
        <v>1235</v>
      </c>
      <c r="N3" s="32">
        <v>1651</v>
      </c>
      <c r="O3" s="32">
        <v>2539</v>
      </c>
      <c r="P3" s="32">
        <v>10703</v>
      </c>
      <c r="Q3" s="32">
        <v>48980</v>
      </c>
      <c r="R3" s="32">
        <v>87849</v>
      </c>
      <c r="S3" s="32">
        <v>99607</v>
      </c>
      <c r="T3" s="32">
        <v>80665</v>
      </c>
      <c r="U3" s="32">
        <v>47146</v>
      </c>
      <c r="V3" s="32">
        <v>21773</v>
      </c>
      <c r="W3" s="32">
        <v>9350</v>
      </c>
      <c r="Y3" s="33" t="s">
        <v>232</v>
      </c>
      <c r="Z3">
        <f t="shared" si="0"/>
        <v>80665</v>
      </c>
    </row>
    <row r="4" spans="1:26" x14ac:dyDescent="0.35">
      <c r="B4" s="33" t="s">
        <v>233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10</v>
      </c>
      <c r="K4" s="32">
        <v>22</v>
      </c>
      <c r="L4" s="32">
        <v>30</v>
      </c>
      <c r="M4" s="32">
        <v>64</v>
      </c>
      <c r="N4" s="32">
        <v>127</v>
      </c>
      <c r="O4" s="32">
        <v>298</v>
      </c>
      <c r="P4" s="32">
        <v>1580</v>
      </c>
      <c r="Q4" s="32">
        <v>17895</v>
      </c>
      <c r="R4" s="32">
        <v>67247</v>
      </c>
      <c r="S4" s="32">
        <v>124590</v>
      </c>
      <c r="T4" s="32">
        <v>159685</v>
      </c>
      <c r="U4" s="32">
        <v>132986</v>
      </c>
      <c r="V4" s="32">
        <v>81754</v>
      </c>
      <c r="W4" s="32">
        <v>37164</v>
      </c>
      <c r="Y4" s="33" t="s">
        <v>233</v>
      </c>
      <c r="Z4">
        <f t="shared" si="0"/>
        <v>159685</v>
      </c>
    </row>
    <row r="5" spans="1:26" x14ac:dyDescent="0.35">
      <c r="B5" s="31" t="s">
        <v>234</v>
      </c>
      <c r="C5" s="32">
        <v>191641</v>
      </c>
      <c r="D5" s="32">
        <v>241679</v>
      </c>
      <c r="E5" s="32">
        <v>283191</v>
      </c>
      <c r="F5" s="32">
        <v>319491</v>
      </c>
      <c r="G5" s="32">
        <v>351729</v>
      </c>
      <c r="H5" s="32">
        <v>375846</v>
      </c>
      <c r="I5" s="32">
        <v>397660</v>
      </c>
      <c r="J5" s="32">
        <v>421410</v>
      </c>
      <c r="K5" s="32">
        <v>444858</v>
      </c>
      <c r="L5" s="32">
        <v>470613</v>
      </c>
      <c r="M5" s="32">
        <v>499050</v>
      </c>
      <c r="N5" s="32">
        <v>531510</v>
      </c>
      <c r="O5" s="32">
        <v>565830</v>
      </c>
      <c r="P5" s="32">
        <v>658034</v>
      </c>
      <c r="Q5" s="32">
        <v>667120</v>
      </c>
      <c r="R5" s="32">
        <v>545563</v>
      </c>
      <c r="S5" s="32">
        <v>359982</v>
      </c>
      <c r="T5" s="32">
        <v>110738</v>
      </c>
      <c r="U5" s="32">
        <v>34314</v>
      </c>
      <c r="V5" s="32">
        <v>13118</v>
      </c>
      <c r="W5" s="32">
        <v>5268</v>
      </c>
      <c r="Y5" s="31" t="s">
        <v>234</v>
      </c>
      <c r="Z5">
        <f t="shared" si="0"/>
        <v>110738</v>
      </c>
    </row>
    <row r="6" spans="1:26" x14ac:dyDescent="0.35">
      <c r="B6" s="33" t="s">
        <v>235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24</v>
      </c>
      <c r="K6" s="32">
        <v>34</v>
      </c>
      <c r="L6" s="32">
        <v>45</v>
      </c>
      <c r="M6" s="32">
        <v>66</v>
      </c>
      <c r="N6" s="32">
        <v>139</v>
      </c>
      <c r="O6" s="32">
        <v>215</v>
      </c>
      <c r="P6" s="32">
        <v>684</v>
      </c>
      <c r="Q6" s="32">
        <v>4714</v>
      </c>
      <c r="R6" s="32">
        <v>10076</v>
      </c>
      <c r="S6" s="32">
        <v>13063</v>
      </c>
      <c r="T6" s="32">
        <v>12340</v>
      </c>
      <c r="U6" s="32">
        <v>8792</v>
      </c>
      <c r="V6" s="32">
        <v>5129</v>
      </c>
      <c r="W6" s="32">
        <v>2723</v>
      </c>
      <c r="Y6" s="33" t="s">
        <v>235</v>
      </c>
      <c r="Z6">
        <f t="shared" si="0"/>
        <v>12340</v>
      </c>
    </row>
    <row r="7" spans="1:26" x14ac:dyDescent="0.35">
      <c r="B7" s="33" t="s">
        <v>236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2</v>
      </c>
      <c r="N7" s="32">
        <v>7</v>
      </c>
      <c r="O7" s="32">
        <v>14</v>
      </c>
      <c r="P7" s="32">
        <v>78</v>
      </c>
      <c r="Q7" s="32">
        <v>1863</v>
      </c>
      <c r="R7" s="32">
        <v>8793</v>
      </c>
      <c r="S7" s="32">
        <v>18696</v>
      </c>
      <c r="T7" s="32">
        <v>26694</v>
      </c>
      <c r="U7" s="32">
        <v>24688</v>
      </c>
      <c r="V7" s="32">
        <v>17741</v>
      </c>
      <c r="W7" s="32">
        <v>10165</v>
      </c>
      <c r="Y7" s="33" t="s">
        <v>236</v>
      </c>
      <c r="Z7">
        <f t="shared" si="0"/>
        <v>26694</v>
      </c>
    </row>
    <row r="8" spans="1:26" x14ac:dyDescent="0.35">
      <c r="B8" s="31" t="s">
        <v>237</v>
      </c>
      <c r="C8" s="32">
        <v>275</v>
      </c>
      <c r="D8" s="32">
        <v>1143</v>
      </c>
      <c r="E8" s="32">
        <v>1977</v>
      </c>
      <c r="F8" s="32">
        <v>2755</v>
      </c>
      <c r="G8" s="32">
        <v>3459</v>
      </c>
      <c r="H8" s="32">
        <v>2221</v>
      </c>
      <c r="I8" s="32">
        <v>2801</v>
      </c>
      <c r="J8" s="32">
        <v>4483</v>
      </c>
      <c r="K8" s="32">
        <v>5971</v>
      </c>
      <c r="L8" s="32">
        <v>7340</v>
      </c>
      <c r="M8" s="32">
        <v>8629</v>
      </c>
      <c r="N8" s="32">
        <v>9611</v>
      </c>
      <c r="O8" s="32">
        <v>10313</v>
      </c>
      <c r="P8" s="32">
        <v>11174</v>
      </c>
      <c r="Q8" s="32">
        <v>10974</v>
      </c>
      <c r="R8" s="32">
        <v>10590</v>
      </c>
      <c r="S8" s="32">
        <v>8896</v>
      </c>
      <c r="T8" s="32">
        <v>5599</v>
      </c>
      <c r="U8" s="32">
        <v>2822</v>
      </c>
      <c r="V8" s="32">
        <v>1448</v>
      </c>
      <c r="W8" s="32">
        <v>848</v>
      </c>
      <c r="Y8" s="31" t="s">
        <v>237</v>
      </c>
      <c r="Z8">
        <f t="shared" si="0"/>
        <v>5599</v>
      </c>
    </row>
    <row r="9" spans="1:26" x14ac:dyDescent="0.35">
      <c r="B9" s="31" t="s">
        <v>238</v>
      </c>
      <c r="C9" s="32">
        <v>0</v>
      </c>
      <c r="D9" s="32">
        <v>0</v>
      </c>
      <c r="E9" s="32">
        <v>0</v>
      </c>
      <c r="F9" s="32">
        <v>0</v>
      </c>
      <c r="G9" s="32">
        <v>2</v>
      </c>
      <c r="H9" s="32">
        <v>14</v>
      </c>
      <c r="I9" s="32">
        <v>16</v>
      </c>
      <c r="J9" s="32">
        <v>26</v>
      </c>
      <c r="K9" s="32">
        <v>44</v>
      </c>
      <c r="L9" s="32">
        <v>105</v>
      </c>
      <c r="M9" s="32">
        <v>148</v>
      </c>
      <c r="N9" s="32">
        <v>161</v>
      </c>
      <c r="O9" s="32">
        <v>217</v>
      </c>
      <c r="P9" s="32">
        <v>475</v>
      </c>
      <c r="Q9" s="32">
        <v>825</v>
      </c>
      <c r="R9" s="32">
        <v>1015</v>
      </c>
      <c r="S9" s="32">
        <v>1113</v>
      </c>
      <c r="T9" s="32">
        <v>981</v>
      </c>
      <c r="U9" s="32">
        <v>664</v>
      </c>
      <c r="V9" s="32">
        <v>384</v>
      </c>
      <c r="W9" s="32">
        <v>177</v>
      </c>
      <c r="Y9" s="31" t="s">
        <v>238</v>
      </c>
      <c r="Z9">
        <f t="shared" si="0"/>
        <v>981</v>
      </c>
    </row>
    <row r="10" spans="1:26" x14ac:dyDescent="0.35">
      <c r="B10" s="33" t="s">
        <v>239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7</v>
      </c>
      <c r="I10" s="32">
        <v>23</v>
      </c>
      <c r="J10" s="32">
        <v>40</v>
      </c>
      <c r="K10" s="32">
        <v>52</v>
      </c>
      <c r="L10" s="32">
        <v>101</v>
      </c>
      <c r="M10" s="32">
        <v>244</v>
      </c>
      <c r="N10" s="32">
        <v>418</v>
      </c>
      <c r="O10" s="32">
        <v>755</v>
      </c>
      <c r="P10" s="32">
        <v>3243</v>
      </c>
      <c r="Q10" s="32">
        <v>21923</v>
      </c>
      <c r="R10" s="32">
        <v>140639</v>
      </c>
      <c r="S10" s="32">
        <v>366566</v>
      </c>
      <c r="T10" s="32">
        <v>700694</v>
      </c>
      <c r="U10" s="32">
        <v>874990</v>
      </c>
      <c r="V10" s="32">
        <v>905280</v>
      </c>
      <c r="W10" s="32">
        <v>877254</v>
      </c>
      <c r="Y10" s="33" t="s">
        <v>239</v>
      </c>
      <c r="Z10">
        <f>HLOOKUP(Z9,$P9:W10,2,0)</f>
        <v>700694</v>
      </c>
    </row>
    <row r="11" spans="1:26" x14ac:dyDescent="0.35">
      <c r="B11" s="33" t="s">
        <v>240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3792</v>
      </c>
      <c r="S11" s="32">
        <v>13822</v>
      </c>
      <c r="T11" s="32">
        <v>33033</v>
      </c>
      <c r="U11" s="32">
        <v>59900</v>
      </c>
      <c r="V11" s="32">
        <v>99777</v>
      </c>
      <c r="W11" s="32">
        <v>145658</v>
      </c>
      <c r="Y11" s="33" t="s">
        <v>240</v>
      </c>
      <c r="Z11">
        <f>HLOOKUP(Z10,$P10:W11,2,0)</f>
        <v>33033</v>
      </c>
    </row>
    <row r="12" spans="1:26" x14ac:dyDescent="0.35">
      <c r="C12" s="32">
        <f>SUM(C2:C11)</f>
        <v>936505</v>
      </c>
      <c r="H12" s="32">
        <f t="shared" ref="H12:W12" si="1">SUM(H2:H11)</f>
        <v>1082932</v>
      </c>
      <c r="I12" s="32">
        <f t="shared" si="1"/>
        <v>1091503</v>
      </c>
      <c r="J12" s="32">
        <f t="shared" si="1"/>
        <v>1097666</v>
      </c>
      <c r="K12" s="32">
        <f t="shared" si="1"/>
        <v>1102866</v>
      </c>
      <c r="L12" s="32">
        <f t="shared" si="1"/>
        <v>1114637</v>
      </c>
      <c r="M12" s="32">
        <f t="shared" si="1"/>
        <v>1133867</v>
      </c>
      <c r="N12" s="32">
        <f t="shared" si="1"/>
        <v>1161452</v>
      </c>
      <c r="O12" s="32">
        <f t="shared" si="1"/>
        <v>1195161</v>
      </c>
      <c r="P12" s="32">
        <f t="shared" si="1"/>
        <v>1287206</v>
      </c>
      <c r="Q12" s="32">
        <f t="shared" si="1"/>
        <v>1322439</v>
      </c>
      <c r="R12" s="32">
        <f t="shared" si="1"/>
        <v>1312716</v>
      </c>
      <c r="S12" s="32">
        <f t="shared" si="1"/>
        <v>1293045</v>
      </c>
      <c r="T12" s="32">
        <f t="shared" si="1"/>
        <v>1264696</v>
      </c>
      <c r="U12" s="32">
        <f t="shared" si="1"/>
        <v>1222498</v>
      </c>
      <c r="V12" s="32">
        <f t="shared" si="1"/>
        <v>1157644</v>
      </c>
      <c r="W12" s="32">
        <f t="shared" si="1"/>
        <v>1092791</v>
      </c>
      <c r="Y12" s="33" t="s">
        <v>241</v>
      </c>
      <c r="Z12">
        <f>SUM(Z2:Z11)</f>
        <v>1264696</v>
      </c>
    </row>
    <row r="14" spans="1:26" x14ac:dyDescent="0.35">
      <c r="A14" t="s">
        <v>242</v>
      </c>
      <c r="B14">
        <f>OsebnaVozila!C5</f>
        <v>2040</v>
      </c>
    </row>
    <row r="15" spans="1:26" x14ac:dyDescent="0.35">
      <c r="A15" t="s">
        <v>243</v>
      </c>
      <c r="B15">
        <f>'Št. avtomobilov po  občinah'!D2</f>
        <v>216458</v>
      </c>
    </row>
    <row r="16" spans="1:26" x14ac:dyDescent="0.35">
      <c r="A16" t="s">
        <v>244</v>
      </c>
      <c r="B16">
        <f>ROUND(B15/O32*HLOOKUP(B14,P24:W32,9,0),0)</f>
        <v>229052</v>
      </c>
    </row>
    <row r="24" spans="2:27" x14ac:dyDescent="0.35">
      <c r="C24" s="30">
        <v>2005</v>
      </c>
      <c r="D24" s="30">
        <v>2006</v>
      </c>
      <c r="E24" s="30">
        <v>2007</v>
      </c>
      <c r="F24" s="30">
        <v>2008</v>
      </c>
      <c r="G24" s="30">
        <v>2009</v>
      </c>
      <c r="H24" s="30">
        <v>2010</v>
      </c>
      <c r="I24" s="30">
        <v>2011</v>
      </c>
      <c r="J24" s="30">
        <v>2012</v>
      </c>
      <c r="K24" s="30">
        <v>2013</v>
      </c>
      <c r="L24" s="30">
        <v>2014</v>
      </c>
      <c r="M24" s="30">
        <v>2015</v>
      </c>
      <c r="N24" s="30">
        <v>2016</v>
      </c>
      <c r="O24" s="30">
        <v>2017</v>
      </c>
      <c r="P24" s="30">
        <v>2020</v>
      </c>
      <c r="Q24" s="30">
        <v>2025</v>
      </c>
      <c r="R24" s="30">
        <v>2030</v>
      </c>
      <c r="S24" s="30">
        <v>2035</v>
      </c>
      <c r="T24" s="30">
        <v>2040</v>
      </c>
      <c r="U24" s="30">
        <v>2045</v>
      </c>
      <c r="V24" s="30">
        <v>2050</v>
      </c>
      <c r="W24" s="30">
        <v>2055</v>
      </c>
      <c r="Y24" s="34"/>
      <c r="Z24" s="35">
        <f>OsebnaVozila!C5</f>
        <v>2040</v>
      </c>
    </row>
    <row r="25" spans="2:27" x14ac:dyDescent="0.35">
      <c r="B25" s="30" t="s">
        <v>245</v>
      </c>
      <c r="C25" s="36">
        <f>C2/C$32</f>
        <v>0.79499522159518632</v>
      </c>
      <c r="H25" s="36">
        <f t="shared" ref="H25:W25" si="2">H2/H$32</f>
        <v>0.65039540802192564</v>
      </c>
      <c r="I25" s="36">
        <f t="shared" si="2"/>
        <v>0.63254063433632335</v>
      </c>
      <c r="J25" s="36">
        <f t="shared" si="2"/>
        <v>0.61129979429079517</v>
      </c>
      <c r="K25" s="36">
        <f t="shared" si="2"/>
        <v>0.59035367850672704</v>
      </c>
      <c r="L25" s="36">
        <f t="shared" si="2"/>
        <v>0.57002234808282881</v>
      </c>
      <c r="M25" s="36">
        <f t="shared" si="2"/>
        <v>0.55070744628779211</v>
      </c>
      <c r="N25" s="36">
        <f t="shared" si="2"/>
        <v>0.53194449706057589</v>
      </c>
      <c r="O25" s="36">
        <f t="shared" si="2"/>
        <v>0.51455828963629169</v>
      </c>
      <c r="P25" s="36">
        <f t="shared" si="2"/>
        <v>0.46708529947809441</v>
      </c>
      <c r="Q25" s="36">
        <f t="shared" si="2"/>
        <v>0.41449548901688471</v>
      </c>
      <c r="R25" s="36">
        <f t="shared" si="2"/>
        <v>0.33301338598752511</v>
      </c>
      <c r="S25" s="36">
        <f t="shared" si="2"/>
        <v>0.2217324223054882</v>
      </c>
      <c r="T25" s="36">
        <f t="shared" si="2"/>
        <v>0.10616543422292789</v>
      </c>
      <c r="U25" s="36">
        <f t="shared" si="2"/>
        <v>2.960822839791967E-2</v>
      </c>
      <c r="V25" s="36">
        <f t="shared" si="2"/>
        <v>9.7093752483492328E-3</v>
      </c>
      <c r="W25" s="36">
        <f t="shared" si="2"/>
        <v>3.8287284576831253E-3</v>
      </c>
      <c r="Y25" s="34" t="s">
        <v>245</v>
      </c>
      <c r="Z25" s="35">
        <f t="shared" ref="Z25:Z31" si="3">HLOOKUP(Z24,$P24:W25,2,0)</f>
        <v>0.10616543422292789</v>
      </c>
      <c r="AA25">
        <f t="shared" ref="AA25:AA31" si="4">ROUND(Z25*$B$16,0)</f>
        <v>24317</v>
      </c>
    </row>
    <row r="26" spans="2:27" x14ac:dyDescent="0.35">
      <c r="B26" s="30" t="s">
        <v>246</v>
      </c>
      <c r="C26" s="36">
        <f>C5/C$32</f>
        <v>0.20463425181926417</v>
      </c>
      <c r="H26" s="36">
        <f t="shared" ref="H26:W26" si="5">H5/H$32</f>
        <v>0.34706334285070528</v>
      </c>
      <c r="I26" s="36">
        <f t="shared" si="5"/>
        <v>0.3643233229775823</v>
      </c>
      <c r="J26" s="36">
        <f t="shared" si="5"/>
        <v>0.38391459697212083</v>
      </c>
      <c r="K26" s="36">
        <f t="shared" si="5"/>
        <v>0.40336541338657644</v>
      </c>
      <c r="L26" s="36">
        <f t="shared" si="5"/>
        <v>0.42221189499361678</v>
      </c>
      <c r="M26" s="36">
        <f t="shared" si="5"/>
        <v>0.44013098538011952</v>
      </c>
      <c r="N26" s="36">
        <f t="shared" si="5"/>
        <v>0.45762545503387142</v>
      </c>
      <c r="O26" s="36">
        <f t="shared" si="5"/>
        <v>0.47343412310140642</v>
      </c>
      <c r="P26" s="36">
        <f t="shared" si="5"/>
        <v>0.51121110373941703</v>
      </c>
      <c r="Q26" s="36">
        <f t="shared" si="5"/>
        <v>0.50446183150980872</v>
      </c>
      <c r="R26" s="36">
        <f t="shared" si="5"/>
        <v>0.41559865195518297</v>
      </c>
      <c r="S26" s="36">
        <f t="shared" si="5"/>
        <v>0.27839866361959559</v>
      </c>
      <c r="T26" s="36">
        <f t="shared" si="5"/>
        <v>8.7560963267061809E-2</v>
      </c>
      <c r="U26" s="36">
        <f t="shared" si="5"/>
        <v>2.8068757576699511E-2</v>
      </c>
      <c r="V26" s="36">
        <f t="shared" si="5"/>
        <v>1.1331635632370574E-2</v>
      </c>
      <c r="W26" s="36">
        <f t="shared" si="5"/>
        <v>4.820683918516898E-3</v>
      </c>
      <c r="Y26" s="37" t="s">
        <v>246</v>
      </c>
      <c r="Z26" s="38">
        <f t="shared" si="3"/>
        <v>8.7560963267061809E-2</v>
      </c>
      <c r="AA26">
        <f t="shared" si="4"/>
        <v>20056</v>
      </c>
    </row>
    <row r="27" spans="2:27" x14ac:dyDescent="0.35">
      <c r="B27" s="30" t="s">
        <v>247</v>
      </c>
      <c r="C27" s="36">
        <f>(C8+C9)/C32</f>
        <v>2.9364498854784544E-4</v>
      </c>
      <c r="H27" s="36">
        <f t="shared" ref="H27:W27" si="6">(H8+H9)/H32</f>
        <v>2.0638414969730325E-3</v>
      </c>
      <c r="I27" s="36">
        <f t="shared" si="6"/>
        <v>2.5808449449978609E-3</v>
      </c>
      <c r="J27" s="36">
        <f t="shared" si="6"/>
        <v>4.1078069285192401E-3</v>
      </c>
      <c r="K27" s="36">
        <f t="shared" si="6"/>
        <v>5.4539717427139834E-3</v>
      </c>
      <c r="L27" s="36">
        <f t="shared" si="6"/>
        <v>6.6793045628307695E-3</v>
      </c>
      <c r="M27" s="36">
        <f t="shared" si="6"/>
        <v>7.740766774233662E-3</v>
      </c>
      <c r="N27" s="36">
        <f t="shared" si="6"/>
        <v>8.4136064167955292E-3</v>
      </c>
      <c r="O27" s="36">
        <f t="shared" si="6"/>
        <v>8.8105284559988149E-3</v>
      </c>
      <c r="P27" s="36">
        <f t="shared" si="6"/>
        <v>9.0498335153813766E-3</v>
      </c>
      <c r="Q27" s="36">
        <f t="shared" si="6"/>
        <v>8.922150662525833E-3</v>
      </c>
      <c r="R27" s="36">
        <f t="shared" si="6"/>
        <v>8.8404498764393814E-3</v>
      </c>
      <c r="S27" s="36">
        <f t="shared" si="6"/>
        <v>7.7406432104064433E-3</v>
      </c>
      <c r="T27" s="36">
        <f t="shared" si="6"/>
        <v>5.2028313523566141E-3</v>
      </c>
      <c r="U27" s="36">
        <f t="shared" si="6"/>
        <v>2.8515384074247973E-3</v>
      </c>
      <c r="V27" s="36">
        <f t="shared" si="6"/>
        <v>1.5825245066704444E-3</v>
      </c>
      <c r="W27" s="36">
        <f t="shared" si="6"/>
        <v>9.379652650872857E-4</v>
      </c>
      <c r="Y27" s="37" t="s">
        <v>247</v>
      </c>
      <c r="Z27" s="38">
        <f t="shared" si="3"/>
        <v>5.2028313523566141E-3</v>
      </c>
      <c r="AA27">
        <f t="shared" si="4"/>
        <v>1192</v>
      </c>
    </row>
    <row r="28" spans="2:27" x14ac:dyDescent="0.35">
      <c r="B28" s="30" t="s">
        <v>248</v>
      </c>
      <c r="C28" s="36">
        <f>(C3+C6)/C32</f>
        <v>7.6881597001617722E-5</v>
      </c>
      <c r="H28" s="36">
        <f t="shared" ref="H28:W28" si="7">(H3+H6)/H32</f>
        <v>4.7094369729585976E-4</v>
      </c>
      <c r="I28" s="36">
        <f t="shared" si="7"/>
        <v>5.34125879635695E-4</v>
      </c>
      <c r="J28" s="36">
        <f t="shared" si="7"/>
        <v>6.3225061175257319E-4</v>
      </c>
      <c r="K28" s="36">
        <f t="shared" si="7"/>
        <v>7.5983845725591324E-4</v>
      </c>
      <c r="L28" s="36">
        <f t="shared" si="7"/>
        <v>9.6892530931594768E-4</v>
      </c>
      <c r="M28" s="36">
        <f t="shared" si="7"/>
        <v>1.1474008856417904E-3</v>
      </c>
      <c r="N28" s="36">
        <f t="shared" si="7"/>
        <v>1.5411743231747846E-3</v>
      </c>
      <c r="O28" s="36">
        <f t="shared" si="7"/>
        <v>2.304292057722767E-3</v>
      </c>
      <c r="P28" s="36">
        <f t="shared" si="7"/>
        <v>8.8462918911192141E-3</v>
      </c>
      <c r="Q28" s="36">
        <f t="shared" si="7"/>
        <v>4.0602250841059589E-2</v>
      </c>
      <c r="R28" s="36">
        <f t="shared" si="7"/>
        <v>7.4597247233979022E-2</v>
      </c>
      <c r="S28" s="36">
        <f t="shared" si="7"/>
        <v>8.7135405186981124E-2</v>
      </c>
      <c r="T28" s="36">
        <f t="shared" si="7"/>
        <v>7.3539411842846028E-2</v>
      </c>
      <c r="U28" s="36">
        <f t="shared" si="7"/>
        <v>4.5757130073014435E-2</v>
      </c>
      <c r="V28" s="36">
        <f t="shared" si="7"/>
        <v>2.3238577662908461E-2</v>
      </c>
      <c r="W28" s="36">
        <f t="shared" si="7"/>
        <v>1.1047858190632975E-2</v>
      </c>
      <c r="Y28" s="37" t="s">
        <v>248</v>
      </c>
      <c r="Z28" s="38">
        <f t="shared" si="3"/>
        <v>7.3539411842846028E-2</v>
      </c>
      <c r="AA28">
        <f t="shared" si="4"/>
        <v>16844</v>
      </c>
    </row>
    <row r="29" spans="2:27" x14ac:dyDescent="0.35">
      <c r="B29" s="30" t="s">
        <v>249</v>
      </c>
      <c r="C29" s="36">
        <f>(C4+C7)/C32</f>
        <v>0</v>
      </c>
      <c r="H29" s="36">
        <f t="shared" ref="H29:W29" si="8">(H4+H7)/H32</f>
        <v>0</v>
      </c>
      <c r="I29" s="36">
        <f t="shared" si="8"/>
        <v>0</v>
      </c>
      <c r="J29" s="36">
        <f t="shared" si="8"/>
        <v>9.1102393624290077E-6</v>
      </c>
      <c r="K29" s="36">
        <f t="shared" si="8"/>
        <v>1.9948026324140919E-5</v>
      </c>
      <c r="L29" s="36">
        <f t="shared" si="8"/>
        <v>2.6914591925442991E-5</v>
      </c>
      <c r="M29" s="36">
        <f t="shared" si="8"/>
        <v>5.8207885051774151E-5</v>
      </c>
      <c r="N29" s="36">
        <f t="shared" si="8"/>
        <v>1.1537282642760958E-4</v>
      </c>
      <c r="O29" s="36">
        <f t="shared" si="8"/>
        <v>2.6105269499255749E-4</v>
      </c>
      <c r="P29" s="36">
        <f t="shared" si="8"/>
        <v>1.2880611184223816E-3</v>
      </c>
      <c r="Q29" s="36">
        <f t="shared" si="8"/>
        <v>1.4940575708974101E-2</v>
      </c>
      <c r="R29" s="36">
        <f t="shared" si="8"/>
        <v>5.7925705179185751E-2</v>
      </c>
      <c r="S29" s="36">
        <f t="shared" si="8"/>
        <v>0.11081284874076308</v>
      </c>
      <c r="T29" s="36">
        <f t="shared" si="8"/>
        <v>0.14737059340742756</v>
      </c>
      <c r="U29" s="36">
        <f t="shared" si="8"/>
        <v>0.12897689812171473</v>
      </c>
      <c r="V29" s="36">
        <f t="shared" si="8"/>
        <v>8.5946111239724815E-2</v>
      </c>
      <c r="W29" s="36">
        <f t="shared" si="8"/>
        <v>4.3310202957381604E-2</v>
      </c>
      <c r="Y29" s="37" t="s">
        <v>249</v>
      </c>
      <c r="Z29" s="38">
        <f t="shared" si="3"/>
        <v>0.14737059340742756</v>
      </c>
      <c r="AA29">
        <f t="shared" si="4"/>
        <v>33756</v>
      </c>
    </row>
    <row r="30" spans="2:27" x14ac:dyDescent="0.35">
      <c r="B30" s="30" t="s">
        <v>250</v>
      </c>
      <c r="C30" s="36">
        <f>C10/C32</f>
        <v>0</v>
      </c>
      <c r="H30" s="36">
        <f t="shared" ref="H30:W30" si="9">H10/H32</f>
        <v>6.4639331001392516E-6</v>
      </c>
      <c r="I30" s="36">
        <f t="shared" si="9"/>
        <v>2.1071861460756407E-5</v>
      </c>
      <c r="J30" s="36">
        <f t="shared" si="9"/>
        <v>3.6440957449716031E-5</v>
      </c>
      <c r="K30" s="36">
        <f t="shared" si="9"/>
        <v>4.7149880402514901E-5</v>
      </c>
      <c r="L30" s="36">
        <f t="shared" si="9"/>
        <v>9.0612459482324739E-5</v>
      </c>
      <c r="M30" s="36">
        <f t="shared" si="9"/>
        <v>2.1519278716110443E-4</v>
      </c>
      <c r="N30" s="36">
        <f t="shared" si="9"/>
        <v>3.5989433915478209E-4</v>
      </c>
      <c r="O30" s="36">
        <f t="shared" si="9"/>
        <v>6.3171405358775936E-4</v>
      </c>
      <c r="P30" s="36">
        <f t="shared" si="9"/>
        <v>2.5194102575656109E-3</v>
      </c>
      <c r="Q30" s="36">
        <f t="shared" si="9"/>
        <v>1.6577702260747E-2</v>
      </c>
      <c r="R30" s="36">
        <f t="shared" si="9"/>
        <v>0.10713589230267628</v>
      </c>
      <c r="S30" s="36">
        <f t="shared" si="9"/>
        <v>0.28349052043819045</v>
      </c>
      <c r="T30" s="36">
        <f t="shared" si="9"/>
        <v>0.55404144553315582</v>
      </c>
      <c r="U30" s="36">
        <f t="shared" si="9"/>
        <v>0.71573941225261717</v>
      </c>
      <c r="V30" s="36">
        <f t="shared" si="9"/>
        <v>0.7820020662656223</v>
      </c>
      <c r="W30" s="36">
        <f t="shared" si="9"/>
        <v>0.80276466405744562</v>
      </c>
      <c r="Y30" s="37" t="s">
        <v>250</v>
      </c>
      <c r="Z30" s="38">
        <f t="shared" si="3"/>
        <v>0.55404144553315582</v>
      </c>
      <c r="AA30">
        <f t="shared" si="4"/>
        <v>126904</v>
      </c>
    </row>
    <row r="31" spans="2:27" x14ac:dyDescent="0.35">
      <c r="B31" s="30" t="s">
        <v>251</v>
      </c>
      <c r="C31" s="36">
        <f>C11/C32</f>
        <v>0</v>
      </c>
      <c r="H31" s="36">
        <f t="shared" ref="H31:W31" si="10">H11/H32</f>
        <v>0</v>
      </c>
      <c r="I31" s="36">
        <f t="shared" si="10"/>
        <v>0</v>
      </c>
      <c r="J31" s="36">
        <f t="shared" si="10"/>
        <v>0</v>
      </c>
      <c r="K31" s="36">
        <f t="shared" si="10"/>
        <v>0</v>
      </c>
      <c r="L31" s="36">
        <f t="shared" si="10"/>
        <v>0</v>
      </c>
      <c r="M31" s="36">
        <f t="shared" si="10"/>
        <v>0</v>
      </c>
      <c r="N31" s="36">
        <f t="shared" si="10"/>
        <v>0</v>
      </c>
      <c r="O31" s="36">
        <f t="shared" si="10"/>
        <v>0</v>
      </c>
      <c r="P31" s="36">
        <f t="shared" si="10"/>
        <v>0</v>
      </c>
      <c r="Q31" s="36">
        <f t="shared" si="10"/>
        <v>0</v>
      </c>
      <c r="R31" s="36">
        <f t="shared" si="10"/>
        <v>2.8886674650114722E-3</v>
      </c>
      <c r="S31" s="36">
        <f t="shared" si="10"/>
        <v>1.0689496498575068E-2</v>
      </c>
      <c r="T31" s="36">
        <f t="shared" si="10"/>
        <v>2.611932037422432E-2</v>
      </c>
      <c r="U31" s="36">
        <f t="shared" si="10"/>
        <v>4.8998035170609688E-2</v>
      </c>
      <c r="V31" s="36">
        <f t="shared" si="10"/>
        <v>8.6189709444354223E-2</v>
      </c>
      <c r="W31" s="36">
        <f t="shared" si="10"/>
        <v>0.13328989715325254</v>
      </c>
      <c r="Y31" s="39" t="s">
        <v>251</v>
      </c>
      <c r="Z31" s="40">
        <f t="shared" si="3"/>
        <v>2.611932037422432E-2</v>
      </c>
      <c r="AA31">
        <f t="shared" si="4"/>
        <v>5983</v>
      </c>
    </row>
    <row r="32" spans="2:27" x14ac:dyDescent="0.35">
      <c r="C32" s="32">
        <f>SUM(C2:C11)</f>
        <v>936505</v>
      </c>
      <c r="H32" s="32">
        <f t="shared" ref="H32:W32" si="11">SUM(H2:H11)</f>
        <v>1082932</v>
      </c>
      <c r="I32" s="32">
        <f t="shared" si="11"/>
        <v>1091503</v>
      </c>
      <c r="J32" s="32">
        <f t="shared" si="11"/>
        <v>1097666</v>
      </c>
      <c r="K32" s="32">
        <f t="shared" si="11"/>
        <v>1102866</v>
      </c>
      <c r="L32" s="32">
        <f t="shared" si="11"/>
        <v>1114637</v>
      </c>
      <c r="M32" s="32">
        <f t="shared" si="11"/>
        <v>1133867</v>
      </c>
      <c r="N32" s="32">
        <f t="shared" si="11"/>
        <v>1161452</v>
      </c>
      <c r="O32" s="32">
        <f t="shared" si="11"/>
        <v>1195161</v>
      </c>
      <c r="P32" s="32">
        <f t="shared" si="11"/>
        <v>1287206</v>
      </c>
      <c r="Q32" s="32">
        <f t="shared" si="11"/>
        <v>1322439</v>
      </c>
      <c r="R32" s="32">
        <f t="shared" si="11"/>
        <v>1312716</v>
      </c>
      <c r="S32" s="32">
        <f t="shared" si="11"/>
        <v>1293045</v>
      </c>
      <c r="T32" s="32">
        <f t="shared" si="11"/>
        <v>1264696</v>
      </c>
      <c r="U32" s="32">
        <f t="shared" si="11"/>
        <v>1222498</v>
      </c>
      <c r="V32" s="32">
        <f t="shared" si="11"/>
        <v>1157644</v>
      </c>
      <c r="W32" s="32">
        <f t="shared" si="11"/>
        <v>1092791</v>
      </c>
      <c r="Y32" s="39"/>
      <c r="Z32" s="41">
        <f>SUM(Z25:Z31)</f>
        <v>1</v>
      </c>
      <c r="AA32">
        <f>SUM(AA25:AA31)</f>
        <v>229052</v>
      </c>
    </row>
  </sheetData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Z16"/>
  <sheetViews>
    <sheetView workbookViewId="0">
      <selection activeCell="X61" sqref="X61"/>
    </sheetView>
  </sheetViews>
  <sheetFormatPr defaultRowHeight="14.5" x14ac:dyDescent="0.35"/>
  <cols>
    <col min="4" max="7" width="0" hidden="1" bestFit="1" customWidth="1"/>
    <col min="9" max="12" width="0" hidden="1" bestFit="1" customWidth="1"/>
    <col min="14" max="15" width="0" hidden="1" bestFit="1" customWidth="1"/>
  </cols>
  <sheetData>
    <row r="1" spans="2:26" x14ac:dyDescent="0.35">
      <c r="C1" s="30">
        <v>2005</v>
      </c>
      <c r="D1" s="30">
        <v>2006</v>
      </c>
      <c r="E1" s="30">
        <v>2007</v>
      </c>
      <c r="F1" s="30">
        <v>2008</v>
      </c>
      <c r="G1" s="30">
        <v>2009</v>
      </c>
      <c r="H1" s="30">
        <v>2010</v>
      </c>
      <c r="I1" s="30">
        <v>2011</v>
      </c>
      <c r="J1" s="30">
        <v>2012</v>
      </c>
      <c r="K1" s="30">
        <v>2013</v>
      </c>
      <c r="L1" s="30">
        <v>2014</v>
      </c>
      <c r="M1" s="30">
        <v>2015</v>
      </c>
      <c r="N1" s="30">
        <v>2016</v>
      </c>
      <c r="O1" s="30">
        <v>2017</v>
      </c>
      <c r="P1" s="30">
        <v>2020</v>
      </c>
      <c r="Q1" s="30">
        <v>2025</v>
      </c>
      <c r="R1" s="30">
        <v>2030</v>
      </c>
      <c r="S1" s="30">
        <v>2035</v>
      </c>
      <c r="T1" s="30">
        <v>2040</v>
      </c>
      <c r="U1" s="30">
        <v>2045</v>
      </c>
      <c r="V1" s="30">
        <v>2050</v>
      </c>
      <c r="W1" s="30">
        <v>2055</v>
      </c>
      <c r="Z1" s="30" t="s">
        <v>252</v>
      </c>
    </row>
    <row r="2" spans="2:26" x14ac:dyDescent="0.35">
      <c r="B2" s="31" t="s">
        <v>231</v>
      </c>
      <c r="C2" s="32">
        <v>8084.0768596471808</v>
      </c>
      <c r="D2" s="32">
        <v>8057.1753520236362</v>
      </c>
      <c r="E2" s="32">
        <v>7934.1067901158976</v>
      </c>
      <c r="F2" s="32">
        <v>7817.678559960199</v>
      </c>
      <c r="G2" s="32">
        <v>7650.5250101542533</v>
      </c>
      <c r="H2" s="32">
        <v>7431.3774292839971</v>
      </c>
      <c r="I2" s="32">
        <v>7269.2603580170353</v>
      </c>
      <c r="J2" s="32">
        <v>7059.6482070909269</v>
      </c>
      <c r="K2" s="32">
        <v>6818.8383016409907</v>
      </c>
      <c r="L2" s="32">
        <v>6613.4535621526575</v>
      </c>
      <c r="M2" s="32">
        <v>6425.9669797300994</v>
      </c>
      <c r="N2" s="32">
        <v>6296.3072659563668</v>
      </c>
      <c r="O2" s="32">
        <v>6201.2822677604654</v>
      </c>
      <c r="P2" s="32">
        <v>6011.2742741069433</v>
      </c>
      <c r="Q2" s="32">
        <v>5647.5180105699837</v>
      </c>
      <c r="R2" s="32">
        <v>4463.9488713599003</v>
      </c>
      <c r="S2" s="32">
        <v>2684.5976607544408</v>
      </c>
      <c r="T2" s="32">
        <v>1115.3469241490648</v>
      </c>
      <c r="U2" s="32">
        <v>242.73521811171963</v>
      </c>
      <c r="V2" s="32">
        <v>65.682793288470407</v>
      </c>
      <c r="W2" s="32">
        <v>23.182766891288736</v>
      </c>
      <c r="Z2" s="32">
        <v>5000</v>
      </c>
    </row>
    <row r="3" spans="2:26" x14ac:dyDescent="0.35">
      <c r="B3" s="33" t="s">
        <v>232</v>
      </c>
      <c r="C3" s="32">
        <v>0.54231841527945113</v>
      </c>
      <c r="D3" s="32">
        <v>1.1878468801365156</v>
      </c>
      <c r="E3" s="32">
        <v>1.9603743420874487</v>
      </c>
      <c r="F3" s="32">
        <v>2.9438811591139684</v>
      </c>
      <c r="G3" s="32">
        <v>4.1568798320453295</v>
      </c>
      <c r="H3" s="32">
        <v>5.5170507916285878</v>
      </c>
      <c r="I3" s="32">
        <v>6.5662667412307112</v>
      </c>
      <c r="J3" s="32">
        <v>7.4804275721286793</v>
      </c>
      <c r="K3" s="32">
        <v>8.8171345390944236</v>
      </c>
      <c r="L3" s="32">
        <v>10.933285178536757</v>
      </c>
      <c r="M3" s="32">
        <v>13.353665569681574</v>
      </c>
      <c r="N3" s="32">
        <v>16.987625205072906</v>
      </c>
      <c r="O3" s="32">
        <v>24.755584092571628</v>
      </c>
      <c r="P3" s="32">
        <v>106.2560130402386</v>
      </c>
      <c r="Q3" s="32">
        <v>521.39895090428331</v>
      </c>
      <c r="R3" s="32">
        <v>980.00092432861106</v>
      </c>
      <c r="S3" s="32">
        <v>1088.3425982811252</v>
      </c>
      <c r="T3" s="32">
        <v>840.32135812854017</v>
      </c>
      <c r="U3" s="32">
        <v>456.72961022038089</v>
      </c>
      <c r="V3" s="32">
        <v>189.9491244227431</v>
      </c>
      <c r="W3" s="32">
        <v>69.41672375730947</v>
      </c>
      <c r="Z3" s="32">
        <v>8000</v>
      </c>
    </row>
    <row r="4" spans="2:26" x14ac:dyDescent="0.35">
      <c r="B4" s="33" t="s">
        <v>233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5.9449865514836137E-2</v>
      </c>
      <c r="K4" s="32">
        <v>0.19077983861780334</v>
      </c>
      <c r="L4" s="32">
        <v>0.31135485573181837</v>
      </c>
      <c r="M4" s="32">
        <v>0.56369865559913634</v>
      </c>
      <c r="N4" s="32">
        <v>1.1451731121453279</v>
      </c>
      <c r="O4" s="32">
        <v>2.5983607984470045</v>
      </c>
      <c r="P4" s="32">
        <v>15.778748379001327</v>
      </c>
      <c r="Q4" s="32">
        <v>185.31267387885103</v>
      </c>
      <c r="R4" s="32">
        <v>720.41007537609789</v>
      </c>
      <c r="S4" s="32">
        <v>1376.9799738931899</v>
      </c>
      <c r="T4" s="32">
        <v>1752.4185475102963</v>
      </c>
      <c r="U4" s="32">
        <v>1406.6679577401426</v>
      </c>
      <c r="V4" s="32">
        <v>795.69867772950749</v>
      </c>
      <c r="W4" s="32">
        <v>325.63904541549556</v>
      </c>
      <c r="Z4" s="32">
        <v>10000</v>
      </c>
    </row>
    <row r="5" spans="2:26" x14ac:dyDescent="0.35">
      <c r="B5" s="31" t="s">
        <v>234</v>
      </c>
      <c r="C5" s="32">
        <v>3637.9230468592987</v>
      </c>
      <c r="D5" s="32">
        <v>4665.7570556846113</v>
      </c>
      <c r="E5" s="32">
        <v>5455.0211544146459</v>
      </c>
      <c r="F5" s="32">
        <v>6171.0473494841226</v>
      </c>
      <c r="G5" s="32">
        <v>6841.5262058356893</v>
      </c>
      <c r="H5" s="32">
        <v>7312.0825203852273</v>
      </c>
      <c r="I5" s="32">
        <v>7611.80246581557</v>
      </c>
      <c r="J5" s="32">
        <v>7971.617939811531</v>
      </c>
      <c r="K5" s="32">
        <v>8296.2845600168457</v>
      </c>
      <c r="L5" s="32">
        <v>8680.1792651264586</v>
      </c>
      <c r="M5" s="32">
        <v>9105.7141965830124</v>
      </c>
      <c r="N5" s="32">
        <v>9632.9887795285249</v>
      </c>
      <c r="O5" s="32">
        <v>10230.659275503782</v>
      </c>
      <c r="P5" s="32">
        <v>11849.112337149852</v>
      </c>
      <c r="Q5" s="32">
        <v>11648.076611771434</v>
      </c>
      <c r="R5" s="32">
        <v>8941.46947159091</v>
      </c>
      <c r="S5" s="32">
        <v>5394.9619851202888</v>
      </c>
      <c r="T5" s="32">
        <v>1503.0328871243055</v>
      </c>
      <c r="U5" s="32">
        <v>396.08245932552563</v>
      </c>
      <c r="V5" s="32">
        <v>131.22828945677827</v>
      </c>
      <c r="W5" s="32">
        <v>47.639014316766392</v>
      </c>
      <c r="Z5" s="32">
        <v>11000</v>
      </c>
    </row>
    <row r="6" spans="2:26" x14ac:dyDescent="0.35">
      <c r="B6" s="33" t="s">
        <v>235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0.35193509194694506</v>
      </c>
      <c r="K6" s="32">
        <v>0.66736829405413189</v>
      </c>
      <c r="L6" s="32">
        <v>0.90181592841138702</v>
      </c>
      <c r="M6" s="32">
        <v>1.2765896662625631</v>
      </c>
      <c r="N6" s="32">
        <v>2.5522326373446265</v>
      </c>
      <c r="O6" s="32">
        <v>4.1546167423529887</v>
      </c>
      <c r="P6" s="32">
        <v>13.232156811035686</v>
      </c>
      <c r="Q6" s="32">
        <v>91.359628065385223</v>
      </c>
      <c r="R6" s="32">
        <v>194.86694069170233</v>
      </c>
      <c r="S6" s="32">
        <v>238.81647671965032</v>
      </c>
      <c r="T6" s="32">
        <v>210.01285984582367</v>
      </c>
      <c r="U6" s="32">
        <v>137.58502378671247</v>
      </c>
      <c r="V6" s="32">
        <v>73.830344806941838</v>
      </c>
      <c r="W6" s="32">
        <v>34.822844930553671</v>
      </c>
      <c r="Z6" s="32">
        <v>12000</v>
      </c>
    </row>
    <row r="7" spans="2:26" x14ac:dyDescent="0.35">
      <c r="B7" s="33" t="s">
        <v>236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2.2069294869365187E-2</v>
      </c>
      <c r="N7" s="32">
        <v>0.1212568737698663</v>
      </c>
      <c r="O7" s="32">
        <v>0.26280035296035198</v>
      </c>
      <c r="P7" s="32">
        <v>1.4939321912299068</v>
      </c>
      <c r="Q7" s="32">
        <v>36.142052355199731</v>
      </c>
      <c r="R7" s="32">
        <v>170.84917384367776</v>
      </c>
      <c r="S7" s="32">
        <v>358.46753925934485</v>
      </c>
      <c r="T7" s="32">
        <v>493.61430164434</v>
      </c>
      <c r="U7" s="32">
        <v>421.3043501491203</v>
      </c>
      <c r="V7" s="32">
        <v>275.7683075806429</v>
      </c>
      <c r="W7" s="32">
        <v>145.57545921155631</v>
      </c>
      <c r="Z7" s="32">
        <v>13000</v>
      </c>
    </row>
    <row r="8" spans="2:26" x14ac:dyDescent="0.35">
      <c r="B8" s="31" t="s">
        <v>237</v>
      </c>
      <c r="C8" s="32">
        <v>4.4887069465497298</v>
      </c>
      <c r="D8" s="32">
        <v>22.681361354693795</v>
      </c>
      <c r="E8" s="32">
        <v>39.732852943729277</v>
      </c>
      <c r="F8" s="32">
        <v>55.530891954778951</v>
      </c>
      <c r="G8" s="32">
        <v>69.927011275439042</v>
      </c>
      <c r="H8" s="32">
        <v>44.546726295791132</v>
      </c>
      <c r="I8" s="32">
        <v>56.699291438553864</v>
      </c>
      <c r="J8" s="32">
        <v>90.694151085809835</v>
      </c>
      <c r="K8" s="32">
        <v>120.42506483740679</v>
      </c>
      <c r="L8" s="32">
        <v>146.45168983313826</v>
      </c>
      <c r="M8" s="32">
        <v>172.07878062371563</v>
      </c>
      <c r="N8" s="32">
        <v>190.86603886975962</v>
      </c>
      <c r="O8" s="32">
        <v>203.5208624172632</v>
      </c>
      <c r="P8" s="32">
        <v>219.26982426994508</v>
      </c>
      <c r="Q8" s="32">
        <v>213.31260081384298</v>
      </c>
      <c r="R8" s="32">
        <v>202.67787421668896</v>
      </c>
      <c r="S8" s="32">
        <v>166.7996442153399</v>
      </c>
      <c r="T8" s="32">
        <v>99.394274929979105</v>
      </c>
      <c r="U8" s="32">
        <v>43.61751391776491</v>
      </c>
      <c r="V8" s="32">
        <v>17.779684904521361</v>
      </c>
      <c r="W8" s="32">
        <v>7.9775874417677448</v>
      </c>
      <c r="Z8" s="32">
        <v>14000</v>
      </c>
    </row>
    <row r="9" spans="2:26" x14ac:dyDescent="0.35">
      <c r="B9" s="31" t="s">
        <v>238</v>
      </c>
      <c r="C9" s="32">
        <v>0</v>
      </c>
      <c r="D9" s="32">
        <v>0</v>
      </c>
      <c r="E9" s="32">
        <v>0</v>
      </c>
      <c r="F9" s="32">
        <v>0</v>
      </c>
      <c r="G9" s="32">
        <v>2.0899999999999998E-2</v>
      </c>
      <c r="H9" s="32">
        <v>0.26058173366678195</v>
      </c>
      <c r="I9" s="32">
        <v>0.30123899700903001</v>
      </c>
      <c r="J9" s="32">
        <v>0.42625129085092844</v>
      </c>
      <c r="K9" s="32">
        <v>0.70607707479760473</v>
      </c>
      <c r="L9" s="32">
        <v>1.5354867002383905</v>
      </c>
      <c r="M9" s="32">
        <v>2.6142804610295154</v>
      </c>
      <c r="N9" s="32">
        <v>3.1884782632180482</v>
      </c>
      <c r="O9" s="32">
        <v>3.9178884706809103</v>
      </c>
      <c r="P9" s="32">
        <v>8.9139952595417391</v>
      </c>
      <c r="Q9" s="32">
        <v>16.240679176886506</v>
      </c>
      <c r="R9" s="32">
        <v>20.002226476443127</v>
      </c>
      <c r="S9" s="32">
        <v>21.609347667482144</v>
      </c>
      <c r="T9" s="32">
        <v>19.472183566450092</v>
      </c>
      <c r="U9" s="32">
        <v>12.639128435190605</v>
      </c>
      <c r="V9" s="32">
        <v>6.7202374148200068</v>
      </c>
      <c r="W9" s="32">
        <v>2.4674909422415636</v>
      </c>
      <c r="Z9" s="32">
        <v>15000</v>
      </c>
    </row>
    <row r="10" spans="2:26" x14ac:dyDescent="0.35">
      <c r="B10" s="33" t="s">
        <v>239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9.6356273298179973E-2</v>
      </c>
      <c r="I10" s="32">
        <v>0.24620588042181751</v>
      </c>
      <c r="J10" s="32">
        <v>0.52692557671277429</v>
      </c>
      <c r="K10" s="32">
        <v>0.79934051426493058</v>
      </c>
      <c r="L10" s="32">
        <v>1.3929117735165748</v>
      </c>
      <c r="M10" s="32">
        <v>3.2569340786303957</v>
      </c>
      <c r="N10" s="32">
        <v>5.7957554011981145</v>
      </c>
      <c r="O10" s="32">
        <v>10.345110102843524</v>
      </c>
      <c r="P10" s="32">
        <v>47.586698149430333</v>
      </c>
      <c r="Q10" s="32">
        <v>332.64227760216835</v>
      </c>
      <c r="R10" s="32">
        <v>2124.2794158221882</v>
      </c>
      <c r="S10" s="32">
        <v>5720.1262451974944</v>
      </c>
      <c r="T10" s="32">
        <v>10989.199367943971</v>
      </c>
      <c r="U10" s="32">
        <v>13560.424191408078</v>
      </c>
      <c r="V10" s="32">
        <v>13623.231412461524</v>
      </c>
      <c r="W10" s="32">
        <v>13050.296710795104</v>
      </c>
      <c r="Z10" s="32">
        <v>16000</v>
      </c>
    </row>
    <row r="11" spans="2:26" x14ac:dyDescent="0.35">
      <c r="B11" s="33" t="s">
        <v>240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71.404303170456174</v>
      </c>
      <c r="S11" s="32">
        <v>267.91643983570833</v>
      </c>
      <c r="T11" s="32">
        <v>640.15069462690872</v>
      </c>
      <c r="U11" s="32">
        <v>1132.1641771620502</v>
      </c>
      <c r="V11" s="32">
        <v>1871.7849980391702</v>
      </c>
      <c r="W11" s="32">
        <v>2744.2765329921281</v>
      </c>
      <c r="Z11" s="32">
        <v>17000</v>
      </c>
    </row>
    <row r="12" spans="2:26" x14ac:dyDescent="0.35">
      <c r="B12" s="33" t="s">
        <v>253</v>
      </c>
      <c r="C12" s="32">
        <f>SUM(C2:C11)</f>
        <v>11727.030931868308</v>
      </c>
      <c r="H12" s="32">
        <f t="shared" ref="H12:W12" si="0">SUM(H2:H11)</f>
        <v>14793.880664763608</v>
      </c>
      <c r="I12" s="32">
        <f t="shared" si="0"/>
        <v>14944.87582688982</v>
      </c>
      <c r="J12" s="32">
        <f t="shared" si="0"/>
        <v>15130.805287385423</v>
      </c>
      <c r="K12" s="32">
        <f t="shared" si="0"/>
        <v>15246.728626756072</v>
      </c>
      <c r="L12" s="32">
        <f t="shared" si="0"/>
        <v>15455.159371548691</v>
      </c>
      <c r="M12" s="32">
        <f t="shared" si="0"/>
        <v>15724.8471946629</v>
      </c>
      <c r="N12" s="32">
        <f t="shared" si="0"/>
        <v>16149.9526058474</v>
      </c>
      <c r="O12" s="32">
        <f t="shared" si="0"/>
        <v>16681.496766241366</v>
      </c>
      <c r="P12" s="32">
        <f t="shared" si="0"/>
        <v>18272.917979357218</v>
      </c>
      <c r="Q12" s="32">
        <f t="shared" si="0"/>
        <v>18692.003485138033</v>
      </c>
      <c r="R12" s="32">
        <f t="shared" si="0"/>
        <v>17889.909276876675</v>
      </c>
      <c r="S12" s="32">
        <f t="shared" si="0"/>
        <v>17318.617910944064</v>
      </c>
      <c r="T12" s="32">
        <f t="shared" si="0"/>
        <v>17662.963399469678</v>
      </c>
      <c r="U12" s="32">
        <f t="shared" si="0"/>
        <v>17809.949630256684</v>
      </c>
      <c r="V12" s="32">
        <f t="shared" si="0"/>
        <v>17051.673870105118</v>
      </c>
      <c r="W12" s="32">
        <f t="shared" si="0"/>
        <v>16451.294176694213</v>
      </c>
      <c r="Z12" s="32">
        <v>18000</v>
      </c>
    </row>
    <row r="13" spans="2:26" x14ac:dyDescent="0.35">
      <c r="Z13" s="32">
        <v>19000</v>
      </c>
    </row>
    <row r="14" spans="2:26" x14ac:dyDescent="0.35">
      <c r="Z14" s="32">
        <v>20000</v>
      </c>
    </row>
    <row r="15" spans="2:26" x14ac:dyDescent="0.35">
      <c r="Z15" s="32">
        <v>25000</v>
      </c>
    </row>
    <row r="16" spans="2:26" x14ac:dyDescent="0.35">
      <c r="Z16" s="32">
        <v>30000</v>
      </c>
    </row>
  </sheetData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D74"/>
  <sheetViews>
    <sheetView workbookViewId="0">
      <selection activeCell="AD73" sqref="AD67:AD73"/>
    </sheetView>
  </sheetViews>
  <sheetFormatPr defaultRowHeight="14.5" x14ac:dyDescent="0.35"/>
  <cols>
    <col min="3" max="3" width="9.81640625" bestFit="1" customWidth="1"/>
    <col min="4" max="7" width="0" hidden="1" bestFit="1" customWidth="1"/>
    <col min="9" max="12" width="0" hidden="1" bestFit="1" customWidth="1"/>
    <col min="14" max="15" width="0" hidden="1" bestFit="1" customWidth="1"/>
    <col min="30" max="30" width="9.81640625" bestFit="1" customWidth="1"/>
  </cols>
  <sheetData>
    <row r="1" spans="2:23" x14ac:dyDescent="0.35">
      <c r="C1" s="30">
        <v>2005</v>
      </c>
      <c r="D1" s="30">
        <v>2006</v>
      </c>
      <c r="E1" s="30">
        <v>2007</v>
      </c>
      <c r="F1" s="30">
        <v>2008</v>
      </c>
      <c r="G1" s="30">
        <v>2009</v>
      </c>
      <c r="H1" s="30">
        <v>2010</v>
      </c>
      <c r="I1" s="30">
        <v>2011</v>
      </c>
      <c r="J1" s="30">
        <v>2012</v>
      </c>
      <c r="K1" s="30">
        <v>2013</v>
      </c>
      <c r="L1" s="30">
        <v>2014</v>
      </c>
      <c r="M1" s="30">
        <v>2015</v>
      </c>
      <c r="N1" s="30">
        <v>2016</v>
      </c>
      <c r="O1" s="30">
        <v>2017</v>
      </c>
      <c r="P1" s="30">
        <v>2020</v>
      </c>
      <c r="Q1" s="30">
        <v>2025</v>
      </c>
      <c r="R1" s="30">
        <v>2030</v>
      </c>
      <c r="S1" s="30">
        <v>2035</v>
      </c>
      <c r="T1" s="30">
        <v>2040</v>
      </c>
      <c r="U1" s="30">
        <v>2045</v>
      </c>
      <c r="V1" s="30">
        <v>2050</v>
      </c>
      <c r="W1" s="30">
        <v>2055</v>
      </c>
    </row>
    <row r="2" spans="2:23" x14ac:dyDescent="0.35">
      <c r="B2" s="31" t="s">
        <v>231</v>
      </c>
      <c r="C2" s="32">
        <v>21084.3416322632</v>
      </c>
      <c r="D2" s="32">
        <v>20939.665018150892</v>
      </c>
      <c r="E2" s="32">
        <v>20558.737784424477</v>
      </c>
      <c r="F2" s="32">
        <v>20194.587819096494</v>
      </c>
      <c r="G2" s="32">
        <v>19688.54147716409</v>
      </c>
      <c r="H2" s="32">
        <v>19025.798106491009</v>
      </c>
      <c r="I2" s="32">
        <v>18529.468921722939</v>
      </c>
      <c r="J2" s="32">
        <v>17914.96687393478</v>
      </c>
      <c r="K2" s="32">
        <v>17224.414818390789</v>
      </c>
      <c r="L2" s="32">
        <v>16626.181264855139</v>
      </c>
      <c r="M2" s="32">
        <v>16068.019267682123</v>
      </c>
      <c r="N2" s="32">
        <v>15648.263564794272</v>
      </c>
      <c r="O2" s="32">
        <v>15296.788801860845</v>
      </c>
      <c r="P2" s="32">
        <v>14315.926497838091</v>
      </c>
      <c r="Q2" s="32">
        <v>12567.50931042209</v>
      </c>
      <c r="R2" s="32">
        <v>9474.0999772022278</v>
      </c>
      <c r="S2" s="32">
        <v>5575.6728152397682</v>
      </c>
      <c r="T2" s="32">
        <v>2291.1815782227059</v>
      </c>
      <c r="U2" s="32">
        <v>510.55767753623968</v>
      </c>
      <c r="V2" s="32">
        <v>141.31773605445909</v>
      </c>
      <c r="W2" s="32">
        <v>49.072498973688809</v>
      </c>
    </row>
    <row r="3" spans="2:23" x14ac:dyDescent="0.35">
      <c r="B3" s="33" t="s">
        <v>232</v>
      </c>
      <c r="C3" s="32">
        <v>1.0708744963259922</v>
      </c>
      <c r="D3" s="32">
        <v>2.3455499456405629</v>
      </c>
      <c r="E3" s="32">
        <v>3.8710005543727286</v>
      </c>
      <c r="F3" s="32">
        <v>5.8130558813594497</v>
      </c>
      <c r="G3" s="32">
        <v>8.2082711392630952</v>
      </c>
      <c r="H3" s="32">
        <v>10.844738558281495</v>
      </c>
      <c r="I3" s="32">
        <v>12.871489868204957</v>
      </c>
      <c r="J3" s="32">
        <v>14.590669249271889</v>
      </c>
      <c r="K3" s="32">
        <v>16.977967550784307</v>
      </c>
      <c r="L3" s="32">
        <v>20.817830577497311</v>
      </c>
      <c r="M3" s="32">
        <v>25.254250679154179</v>
      </c>
      <c r="N3" s="32">
        <v>32.297828876711009</v>
      </c>
      <c r="O3" s="32">
        <v>47.212666472076762</v>
      </c>
      <c r="P3" s="32">
        <v>196.40800229120941</v>
      </c>
      <c r="Q3" s="32">
        <v>901.4723062181348</v>
      </c>
      <c r="R3" s="32">
        <v>1601.1564724969146</v>
      </c>
      <c r="S3" s="32">
        <v>1691.8613444321102</v>
      </c>
      <c r="T3" s="32">
        <v>1246.1895066930499</v>
      </c>
      <c r="U3" s="32">
        <v>648.92406107995748</v>
      </c>
      <c r="V3" s="32">
        <v>261.10273793647849</v>
      </c>
      <c r="W3" s="32">
        <v>96.937051859992465</v>
      </c>
    </row>
    <row r="4" spans="2:23" x14ac:dyDescent="0.35">
      <c r="B4" s="33" t="s">
        <v>233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0.10840601595445987</v>
      </c>
      <c r="K4" s="32">
        <v>0.34788442412589826</v>
      </c>
      <c r="L4" s="32">
        <v>0.56775131727655159</v>
      </c>
      <c r="M4" s="32">
        <v>1.0278967819891456</v>
      </c>
      <c r="N4" s="32">
        <v>2.0935852032776241</v>
      </c>
      <c r="O4" s="32">
        <v>4.776365709017286</v>
      </c>
      <c r="P4" s="32">
        <v>27.701788556167738</v>
      </c>
      <c r="Q4" s="32">
        <v>302.81641222856081</v>
      </c>
      <c r="R4" s="32">
        <v>1134.2907894691361</v>
      </c>
      <c r="S4" s="32">
        <v>2117.6791622472483</v>
      </c>
      <c r="T4" s="32">
        <v>2651.582386406139</v>
      </c>
      <c r="U4" s="32">
        <v>2103.6691112746335</v>
      </c>
      <c r="V4" s="32">
        <v>1180.9755983516357</v>
      </c>
      <c r="W4" s="32">
        <v>480.39334163513735</v>
      </c>
    </row>
    <row r="5" spans="2:23" x14ac:dyDescent="0.35">
      <c r="B5" s="31" t="s">
        <v>234</v>
      </c>
      <c r="C5" s="32">
        <v>9001.3146220922463</v>
      </c>
      <c r="D5" s="32">
        <v>11504.235590933269</v>
      </c>
      <c r="E5" s="32">
        <v>13403.576516797151</v>
      </c>
      <c r="F5" s="32">
        <v>15117.530991128999</v>
      </c>
      <c r="G5" s="32">
        <v>16716.488942516655</v>
      </c>
      <c r="H5" s="32">
        <v>17802.617968286115</v>
      </c>
      <c r="I5" s="32">
        <v>18466.324254526055</v>
      </c>
      <c r="J5" s="32">
        <v>19256.851688351657</v>
      </c>
      <c r="K5" s="32">
        <v>19934.195110753288</v>
      </c>
      <c r="L5" s="32">
        <v>20731.725944095258</v>
      </c>
      <c r="M5" s="32">
        <v>21612.186275160726</v>
      </c>
      <c r="N5" s="32">
        <v>22715.479738618458</v>
      </c>
      <c r="O5" s="32">
        <v>23982.027534693134</v>
      </c>
      <c r="P5" s="32">
        <v>27345.036686701711</v>
      </c>
      <c r="Q5" s="32">
        <v>26203.182963549043</v>
      </c>
      <c r="R5" s="32">
        <v>19706.166391061517</v>
      </c>
      <c r="S5" s="32">
        <v>11775.188891070742</v>
      </c>
      <c r="T5" s="32">
        <v>3242.625700022943</v>
      </c>
      <c r="U5" s="32">
        <v>869.03916923850716</v>
      </c>
      <c r="V5" s="32">
        <v>291.95873566458772</v>
      </c>
      <c r="W5" s="32">
        <v>105.72610950034448</v>
      </c>
    </row>
    <row r="6" spans="2:23" x14ac:dyDescent="0.35">
      <c r="B6" s="33" t="s">
        <v>235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0.82617831588843393</v>
      </c>
      <c r="K6" s="32">
        <v>1.566667336890915</v>
      </c>
      <c r="L6" s="32">
        <v>2.117040278235748</v>
      </c>
      <c r="M6" s="32">
        <v>2.9968330089469415</v>
      </c>
      <c r="N6" s="32">
        <v>5.9988923541938028</v>
      </c>
      <c r="O6" s="32">
        <v>9.7832242245782872</v>
      </c>
      <c r="P6" s="32">
        <v>31.004851436546787</v>
      </c>
      <c r="Q6" s="32">
        <v>204.86430453464561</v>
      </c>
      <c r="R6" s="32">
        <v>418.72420842923339</v>
      </c>
      <c r="S6" s="32">
        <v>495.03268594304097</v>
      </c>
      <c r="T6" s="32">
        <v>423.05456552809858</v>
      </c>
      <c r="U6" s="32">
        <v>271.56949023177623</v>
      </c>
      <c r="V6" s="32">
        <v>143.1447021189166</v>
      </c>
      <c r="W6" s="32">
        <v>67.522602985210611</v>
      </c>
    </row>
    <row r="7" spans="2:23" x14ac:dyDescent="0.35">
      <c r="B7" s="33" t="s">
        <v>236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4.915846157759992E-2</v>
      </c>
      <c r="N7" s="32">
        <v>0.26707917172539963</v>
      </c>
      <c r="O7" s="32">
        <v>0.57131013055677571</v>
      </c>
      <c r="P7" s="32">
        <v>3.0632825907818857</v>
      </c>
      <c r="Q7" s="32">
        <v>68.335833711810494</v>
      </c>
      <c r="R7" s="32">
        <v>310.20139006552193</v>
      </c>
      <c r="S7" s="32">
        <v>632.49450923616519</v>
      </c>
      <c r="T7" s="32">
        <v>851.10758672005841</v>
      </c>
      <c r="U7" s="32">
        <v>717.41052601813442</v>
      </c>
      <c r="V7" s="32">
        <v>465.83993248675512</v>
      </c>
      <c r="W7" s="32">
        <v>244.25101781751124</v>
      </c>
    </row>
    <row r="8" spans="2:23" x14ac:dyDescent="0.35">
      <c r="B8" s="31" t="s">
        <v>237</v>
      </c>
      <c r="C8" s="32">
        <v>14.766977728640068</v>
      </c>
      <c r="D8" s="32">
        <v>74.618002492911913</v>
      </c>
      <c r="E8" s="32">
        <v>130.71489412974498</v>
      </c>
      <c r="F8" s="32">
        <v>182.68821990945654</v>
      </c>
      <c r="G8" s="32">
        <v>230.04948573525007</v>
      </c>
      <c r="H8" s="32">
        <v>146.55198679691614</v>
      </c>
      <c r="I8" s="32">
        <v>186.53223528098832</v>
      </c>
      <c r="J8" s="32">
        <v>298.37053053015325</v>
      </c>
      <c r="K8" s="32">
        <v>396.18106338690927</v>
      </c>
      <c r="L8" s="32">
        <v>481.8050033943382</v>
      </c>
      <c r="M8" s="32">
        <v>566.11451980649861</v>
      </c>
      <c r="N8" s="32">
        <v>627.92194880989643</v>
      </c>
      <c r="O8" s="32">
        <v>669.554535794152</v>
      </c>
      <c r="P8" s="32">
        <v>719.98265343557443</v>
      </c>
      <c r="Q8" s="32">
        <v>690.97584508246848</v>
      </c>
      <c r="R8" s="32">
        <v>636.02282221940743</v>
      </c>
      <c r="S8" s="32">
        <v>502.19493616342152</v>
      </c>
      <c r="T8" s="32">
        <v>287.8041690388651</v>
      </c>
      <c r="U8" s="32">
        <v>123.32930247924304</v>
      </c>
      <c r="V8" s="32">
        <v>50.559362688170452</v>
      </c>
      <c r="W8" s="32">
        <v>23.475092045269967</v>
      </c>
    </row>
    <row r="9" spans="2:23" x14ac:dyDescent="0.35">
      <c r="B9" s="31" t="s">
        <v>238</v>
      </c>
      <c r="C9" s="32">
        <v>0</v>
      </c>
      <c r="D9" s="32">
        <v>0</v>
      </c>
      <c r="E9" s="32">
        <v>0</v>
      </c>
      <c r="F9" s="32">
        <v>0</v>
      </c>
      <c r="G9" s="32">
        <v>5.1474712345996231E-2</v>
      </c>
      <c r="H9" s="32">
        <v>0.64178802790041201</v>
      </c>
      <c r="I9" s="32">
        <v>0.74192300088211671</v>
      </c>
      <c r="J9" s="32">
        <v>1.0498163915627332</v>
      </c>
      <c r="K9" s="32">
        <v>1.7390006851344102</v>
      </c>
      <c r="L9" s="32">
        <v>3.7817577131997169</v>
      </c>
      <c r="M9" s="32">
        <v>6.4387241494379293</v>
      </c>
      <c r="N9" s="32">
        <v>7.852918728258885</v>
      </c>
      <c r="O9" s="32">
        <v>9.6493867000954516</v>
      </c>
      <c r="P9" s="32">
        <v>21.662930943506325</v>
      </c>
      <c r="Q9" s="32">
        <v>38.180681186574205</v>
      </c>
      <c r="R9" s="32">
        <v>45.070498471700716</v>
      </c>
      <c r="S9" s="32">
        <v>45.48530237743779</v>
      </c>
      <c r="T9" s="32">
        <v>38.140290106444333</v>
      </c>
      <c r="U9" s="32">
        <v>23.868804813130311</v>
      </c>
      <c r="V9" s="32">
        <v>12.442354851618923</v>
      </c>
      <c r="W9" s="32">
        <v>4.6826122570892137</v>
      </c>
    </row>
    <row r="10" spans="2:23" x14ac:dyDescent="0.35">
      <c r="B10" s="33" t="s">
        <v>239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4.7752800673466066E-2</v>
      </c>
      <c r="I10" s="32">
        <v>0.12201613792218287</v>
      </c>
      <c r="J10" s="32">
        <v>0.261136832852081</v>
      </c>
      <c r="K10" s="32">
        <v>0.3961418072884319</v>
      </c>
      <c r="L10" s="32">
        <v>0.69030729395921453</v>
      </c>
      <c r="M10" s="32">
        <v>1.614090277050948</v>
      </c>
      <c r="N10" s="32">
        <v>2.8722940702482052</v>
      </c>
      <c r="O10" s="32">
        <v>5.1268896541630582</v>
      </c>
      <c r="P10" s="32">
        <v>24.027709393509685</v>
      </c>
      <c r="Q10" s="32">
        <v>175.75312796407266</v>
      </c>
      <c r="R10" s="32">
        <v>1173.7430604116007</v>
      </c>
      <c r="S10" s="32">
        <v>3081.4074953460986</v>
      </c>
      <c r="T10" s="32">
        <v>5424.5343696058999</v>
      </c>
      <c r="U10" s="32">
        <v>6252.3242927979318</v>
      </c>
      <c r="V10" s="32">
        <v>6012.345288387266</v>
      </c>
      <c r="W10" s="32">
        <v>5636.0646767611652</v>
      </c>
    </row>
    <row r="11" spans="2:23" x14ac:dyDescent="0.35">
      <c r="B11" s="33" t="s">
        <v>240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54.65447429446651</v>
      </c>
      <c r="S11" s="32">
        <v>197.82264213756793</v>
      </c>
      <c r="T11" s="32">
        <v>457.3145766551944</v>
      </c>
      <c r="U11" s="32">
        <v>781.18550938014823</v>
      </c>
      <c r="V11" s="32">
        <v>1241.5286515250395</v>
      </c>
      <c r="W11" s="32">
        <v>1767.7416348519823</v>
      </c>
    </row>
    <row r="12" spans="2:23" x14ac:dyDescent="0.35">
      <c r="C12" s="32">
        <f>SUM(C2:C11)</f>
        <v>30101.494106580412</v>
      </c>
      <c r="H12" s="32">
        <f t="shared" ref="H12:W12" si="0">SUM(H2:H11)</f>
        <v>36986.502340960898</v>
      </c>
      <c r="I12" s="32">
        <f t="shared" si="0"/>
        <v>37196.060840536993</v>
      </c>
      <c r="J12" s="32">
        <f t="shared" si="0"/>
        <v>37487.025299622117</v>
      </c>
      <c r="K12" s="32">
        <f t="shared" si="0"/>
        <v>37575.818654335206</v>
      </c>
      <c r="L12" s="32">
        <f t="shared" si="0"/>
        <v>37867.686899524902</v>
      </c>
      <c r="M12" s="32">
        <f t="shared" si="0"/>
        <v>38283.701016007508</v>
      </c>
      <c r="N12" s="32">
        <f t="shared" si="0"/>
        <v>39043.047850627052</v>
      </c>
      <c r="O12" s="32">
        <f t="shared" si="0"/>
        <v>40025.490715238629</v>
      </c>
      <c r="P12" s="32">
        <f t="shared" si="0"/>
        <v>42684.814403187098</v>
      </c>
      <c r="Q12" s="32">
        <f t="shared" si="0"/>
        <v>41153.090784897402</v>
      </c>
      <c r="R12" s="32">
        <f t="shared" si="0"/>
        <v>34554.130084121731</v>
      </c>
      <c r="S12" s="32">
        <f t="shared" si="0"/>
        <v>26114.839784193606</v>
      </c>
      <c r="T12" s="32">
        <f t="shared" si="0"/>
        <v>16913.534728999399</v>
      </c>
      <c r="U12" s="32">
        <f t="shared" si="0"/>
        <v>12301.877944849703</v>
      </c>
      <c r="V12" s="32">
        <f t="shared" si="0"/>
        <v>9801.2151000649264</v>
      </c>
      <c r="W12" s="32">
        <f t="shared" si="0"/>
        <v>8475.866638687392</v>
      </c>
    </row>
    <row r="14" spans="2:23" x14ac:dyDescent="0.35">
      <c r="B14" t="s">
        <v>254</v>
      </c>
    </row>
    <row r="15" spans="2:23" x14ac:dyDescent="0.35">
      <c r="C15" s="30">
        <v>2005</v>
      </c>
      <c r="D15" s="30">
        <v>2006</v>
      </c>
      <c r="E15" s="30">
        <v>2007</v>
      </c>
      <c r="F15" s="30">
        <v>2008</v>
      </c>
      <c r="G15" s="30">
        <v>2009</v>
      </c>
      <c r="H15" s="30">
        <v>2010</v>
      </c>
      <c r="I15" s="30">
        <v>2011</v>
      </c>
      <c r="J15" s="30">
        <v>2012</v>
      </c>
      <c r="K15" s="30">
        <v>2013</v>
      </c>
      <c r="L15" s="30">
        <v>2014</v>
      </c>
      <c r="M15" s="30">
        <v>2015</v>
      </c>
      <c r="N15" s="30">
        <v>2016</v>
      </c>
      <c r="O15" s="30">
        <v>2017</v>
      </c>
      <c r="P15" s="30">
        <v>2020</v>
      </c>
      <c r="Q15" s="30">
        <v>2025</v>
      </c>
      <c r="R15" s="30">
        <v>2030</v>
      </c>
      <c r="S15" s="30">
        <v>2035</v>
      </c>
      <c r="T15" s="30">
        <v>2040</v>
      </c>
      <c r="U15" s="30">
        <v>2045</v>
      </c>
      <c r="V15" s="30">
        <v>2050</v>
      </c>
      <c r="W15" s="30">
        <v>2055</v>
      </c>
    </row>
    <row r="16" spans="2:23" x14ac:dyDescent="0.35">
      <c r="B16" s="31" t="s">
        <v>231</v>
      </c>
      <c r="C16" s="42">
        <f>C2/'Št. prevoženih km'!C2</f>
        <v>2.6081322578102504</v>
      </c>
      <c r="D16" s="42"/>
      <c r="E16" s="42"/>
      <c r="F16" s="42"/>
      <c r="G16" s="42"/>
      <c r="H16" s="42">
        <f>H2/'Št. prevoženih km'!H2</f>
        <v>2.5601980638903061</v>
      </c>
      <c r="I16" s="42">
        <f>I2/'Št. prevoženih km'!I2</f>
        <v>2.5490170951556825</v>
      </c>
      <c r="J16" s="42">
        <f>J2/'Št. prevoženih km'!J2</f>
        <v>2.5376571676674256</v>
      </c>
      <c r="K16" s="42">
        <f>K2/'Št. prevoženih km'!K2</f>
        <v>2.5260042922920816</v>
      </c>
      <c r="L16" s="42">
        <f>L2/'Št. prevoženih km'!L2</f>
        <v>2.513993801968025</v>
      </c>
      <c r="M16" s="42">
        <f>M2/'Št. prevoženih km'!M2</f>
        <v>2.500482700637376</v>
      </c>
      <c r="N16" s="42">
        <f>N2/'Št. prevoženih km'!N2</f>
        <v>2.4853081185226125</v>
      </c>
      <c r="O16" s="42">
        <f>O2/'Št. prevoženih km'!O2</f>
        <v>2.4667138410045535</v>
      </c>
      <c r="P16" s="42">
        <f>P2/'Št. prevoženih km'!P2</f>
        <v>2.3815127783309999</v>
      </c>
      <c r="Q16" s="42">
        <f>Q2/'Št. prevoženih km'!Q2</f>
        <v>2.2253154902561696</v>
      </c>
      <c r="R16" s="42">
        <f>R2/'Št. prevoženih km'!R2</f>
        <v>2.1223585328198511</v>
      </c>
      <c r="S16" s="42">
        <f>S2/'Št. prevoženih km'!S2</f>
        <v>2.07691189512281</v>
      </c>
      <c r="T16" s="42">
        <f>T2/'Št. prevoženih km'!T2</f>
        <v>2.0542322111756612</v>
      </c>
      <c r="U16" s="42">
        <f>U2/'Št. prevoženih km'!U2</f>
        <v>2.1033522927079082</v>
      </c>
      <c r="V16" s="42">
        <f>V2/'Št. prevoženih km'!V2</f>
        <v>2.1515183654539434</v>
      </c>
      <c r="W16" s="42">
        <f>W2/'Št. prevoženih km'!W2</f>
        <v>2.1167662688325835</v>
      </c>
    </row>
    <row r="17" spans="2:23" x14ac:dyDescent="0.35">
      <c r="B17" s="33" t="s">
        <v>232</v>
      </c>
      <c r="C17" s="42">
        <f>C3/'Št. prevoženih km'!C3</f>
        <v>1.9746231478681791</v>
      </c>
      <c r="D17" s="42"/>
      <c r="E17" s="42"/>
      <c r="F17" s="42"/>
      <c r="G17" s="42"/>
      <c r="H17" s="42">
        <f>H3/'Št. prevoženih km'!H3</f>
        <v>1.9656767660607704</v>
      </c>
      <c r="I17" s="42">
        <f>I3/'Št. prevoženih km'!I3</f>
        <v>1.9602447441531232</v>
      </c>
      <c r="J17" s="42">
        <f>J3/'Št. prevoženih km'!J3</f>
        <v>1.9505127358809347</v>
      </c>
      <c r="K17" s="42">
        <f>K3/'Št. prevoženih km'!K3</f>
        <v>1.9255652134494994</v>
      </c>
      <c r="L17" s="42">
        <f>L3/'Št. prevoženih km'!L3</f>
        <v>1.9040782562193663</v>
      </c>
      <c r="M17" s="42">
        <f>M3/'Št. prevoženih km'!M3</f>
        <v>1.8911848995598577</v>
      </c>
      <c r="N17" s="42">
        <f>N3/'Št. prevoženih km'!N3</f>
        <v>1.901256266653806</v>
      </c>
      <c r="O17" s="42">
        <f>O3/'Št. prevoženih km'!O3</f>
        <v>1.9071521922297845</v>
      </c>
      <c r="P17" s="42">
        <f>P3/'Št. prevoženih km'!P3</f>
        <v>1.8484412944877833</v>
      </c>
      <c r="Q17" s="42">
        <f>Q3/'Št. prevoženih km'!Q3</f>
        <v>1.7289492137540263</v>
      </c>
      <c r="R17" s="42">
        <f>R3/'Št. prevoženih km'!R3</f>
        <v>1.6338315941832924</v>
      </c>
      <c r="S17" s="42">
        <f>S3/'Št. prevoženih km'!S3</f>
        <v>1.5545301149694524</v>
      </c>
      <c r="T17" s="42">
        <f>T3/'Št. prevoženih km'!T3</f>
        <v>1.4829915896323391</v>
      </c>
      <c r="U17" s="42">
        <f>U3/'Št. prevoženih km'!U3</f>
        <v>1.4208057602546045</v>
      </c>
      <c r="V17" s="42">
        <f>V3/'Št. prevoženih km'!V3</f>
        <v>1.3745930060481815</v>
      </c>
      <c r="W17" s="42">
        <f>W3/'Št. prevoženih km'!W3</f>
        <v>1.3964509791458597</v>
      </c>
    </row>
    <row r="18" spans="2:23" x14ac:dyDescent="0.35">
      <c r="B18" s="33" t="s">
        <v>233</v>
      </c>
      <c r="C18" s="42"/>
      <c r="D18" s="42"/>
      <c r="E18" s="42"/>
      <c r="F18" s="42"/>
      <c r="G18" s="42"/>
      <c r="H18" s="42"/>
      <c r="I18" s="42" t="e">
        <f>I4/'Št. prevoženih km'!I4</f>
        <v>#DIV/0!</v>
      </c>
      <c r="J18" s="42">
        <f>J4/'Št. prevoženih km'!J4</f>
        <v>1.8234863109556805</v>
      </c>
      <c r="K18" s="42">
        <f>K4/'Št. prevoženih km'!K4</f>
        <v>1.8234863109556803</v>
      </c>
      <c r="L18" s="42">
        <f>L4/'Št. prevoženih km'!L4</f>
        <v>1.8234863109556805</v>
      </c>
      <c r="M18" s="42">
        <f>M4/'Št. prevoženih km'!M4</f>
        <v>1.82348631095568</v>
      </c>
      <c r="N18" s="42">
        <f>N4/'Št. prevoženih km'!N4</f>
        <v>1.8281822905844982</v>
      </c>
      <c r="O18" s="42">
        <f>O4/'Št. prevoženih km'!O4</f>
        <v>1.8382226640241945</v>
      </c>
      <c r="P18" s="42">
        <f>P4/'Št. prevoženih km'!P4</f>
        <v>1.7556391603933448</v>
      </c>
      <c r="Q18" s="42">
        <f>Q4/'Št. prevoženih km'!Q4</f>
        <v>1.6340836592025452</v>
      </c>
      <c r="R18" s="42">
        <f>R4/'Št. prevoženih km'!R4</f>
        <v>1.5745071150996428</v>
      </c>
      <c r="S18" s="42">
        <f>S4/'Št. prevoženih km'!S4</f>
        <v>1.5379157303645095</v>
      </c>
      <c r="T18" s="42">
        <f>T4/'Št. prevoženih km'!T4</f>
        <v>1.5130987914806693</v>
      </c>
      <c r="U18" s="42">
        <f>U4/'Št. prevoženih km'!U4</f>
        <v>1.4954979955996479</v>
      </c>
      <c r="V18" s="42">
        <f>V4/'Št. prevoženih km'!V4</f>
        <v>1.4841995235200083</v>
      </c>
      <c r="W18" s="42">
        <f>W4/'Št. prevoženih km'!W4</f>
        <v>1.4752326184416391</v>
      </c>
    </row>
    <row r="19" spans="2:23" x14ac:dyDescent="0.35">
      <c r="B19" s="31" t="s">
        <v>234</v>
      </c>
      <c r="C19" s="42">
        <f>C5/'Št. prevoženih km'!C5</f>
        <v>2.474300447301458</v>
      </c>
      <c r="D19" s="42"/>
      <c r="E19" s="42"/>
      <c r="F19" s="42"/>
      <c r="G19" s="42"/>
      <c r="H19" s="42">
        <f>H5/'Št. prevoženih km'!H5</f>
        <v>2.4346850461075222</v>
      </c>
      <c r="I19" s="42">
        <f>I5/'Št. prevoženih km'!I5</f>
        <v>2.4260120171875048</v>
      </c>
      <c r="J19" s="42">
        <f>J5/'Št. prevoženih km'!J5</f>
        <v>2.4156766962174476</v>
      </c>
      <c r="K19" s="42">
        <f>K5/'Št. prevoženih km'!K5</f>
        <v>2.4027858454643956</v>
      </c>
      <c r="L19" s="42">
        <f>L5/'Št. prevoženih km'!L5</f>
        <v>2.3883983626222061</v>
      </c>
      <c r="M19" s="42">
        <f>M5/'Št. prevoženih km'!M5</f>
        <v>2.3734751397392708</v>
      </c>
      <c r="N19" s="42">
        <f>N5/'Št. prevoženih km'!N5</f>
        <v>2.3580926188652986</v>
      </c>
      <c r="O19" s="42">
        <f>O5/'Št. prevoženih km'!O5</f>
        <v>2.3441331481066454</v>
      </c>
      <c r="P19" s="42">
        <f>P5/'Št. prevoženih km'!P5</f>
        <v>2.3077709037299243</v>
      </c>
      <c r="Q19" s="42">
        <f>Q5/'Št. prevoženih km'!Q5</f>
        <v>2.2495716534924193</v>
      </c>
      <c r="R19" s="42">
        <f>R5/'Št. prevoženih km'!R5</f>
        <v>2.2039069141456564</v>
      </c>
      <c r="S19" s="42">
        <f>S5/'Št. prevoženih km'!S5</f>
        <v>2.1826268514120395</v>
      </c>
      <c r="T19" s="42">
        <f>T5/'Št. prevoženih km'!T5</f>
        <v>2.1573883897024588</v>
      </c>
      <c r="U19" s="42">
        <f>U5/'Št. prevoženih km'!U5</f>
        <v>2.1940864806746609</v>
      </c>
      <c r="V19" s="42">
        <f>V5/'Št. prevoženih km'!V5</f>
        <v>2.2248155247100749</v>
      </c>
      <c r="W19" s="42">
        <f>W5/'Št. prevoženih km'!W5</f>
        <v>2.2193177381324309</v>
      </c>
    </row>
    <row r="20" spans="2:23" x14ac:dyDescent="0.35">
      <c r="B20" s="33" t="s">
        <v>235</v>
      </c>
      <c r="C20" s="42"/>
      <c r="D20" s="42"/>
      <c r="E20" s="42"/>
      <c r="F20" s="42"/>
      <c r="G20" s="42"/>
      <c r="H20" s="42"/>
      <c r="I20" s="42" t="e">
        <f>I6/'Št. prevoženih km'!I6</f>
        <v>#DIV/0!</v>
      </c>
      <c r="J20" s="42">
        <f>J6/'Št. prevoženih km'!J6</f>
        <v>2.3475303679377957</v>
      </c>
      <c r="K20" s="42">
        <f>K6/'Št. prevoženih km'!K6</f>
        <v>2.3475303679377952</v>
      </c>
      <c r="L20" s="42">
        <f>L6/'Št. prevoženih km'!L6</f>
        <v>2.3475303679377957</v>
      </c>
      <c r="M20" s="42">
        <f>M6/'Št. prevoženih km'!M6</f>
        <v>2.3475303679377948</v>
      </c>
      <c r="N20" s="42">
        <f>N6/'Št. prevoženih km'!N6</f>
        <v>2.3504488840151825</v>
      </c>
      <c r="O20" s="42">
        <f>O6/'Št. prevoženih km'!O6</f>
        <v>2.354783805891445</v>
      </c>
      <c r="P20" s="42">
        <f>P6/'Št. prevoženih km'!P6</f>
        <v>2.3431441963179109</v>
      </c>
      <c r="Q20" s="42">
        <f>Q6/'Št. prevoženih km'!Q6</f>
        <v>2.2423942486721398</v>
      </c>
      <c r="R20" s="42">
        <f>R6/'Št. prevoženih km'!R6</f>
        <v>2.1487698577445937</v>
      </c>
      <c r="S20" s="42">
        <f>S6/'Št. prevoženih km'!S6</f>
        <v>2.0728581743719721</v>
      </c>
      <c r="T20" s="42">
        <f>T6/'Št. prevoženih km'!T6</f>
        <v>2.0144221922346794</v>
      </c>
      <c r="U20" s="42">
        <f>U6/'Št. prevoženih km'!U6</f>
        <v>1.9738303105777677</v>
      </c>
      <c r="V20" s="42">
        <f>V6/'Št. prevoženih km'!V6</f>
        <v>1.9388329079760378</v>
      </c>
      <c r="W20" s="42">
        <f>W6/'Št. prevoženih km'!W6</f>
        <v>1.9390317798522565</v>
      </c>
    </row>
    <row r="21" spans="2:23" x14ac:dyDescent="0.35">
      <c r="B21" s="33" t="s">
        <v>236</v>
      </c>
      <c r="C21" s="42"/>
      <c r="D21" s="42"/>
      <c r="E21" s="42"/>
      <c r="F21" s="42"/>
      <c r="G21" s="42"/>
      <c r="H21" s="42"/>
      <c r="I21" s="42" t="e">
        <f>I7/'Št. prevoženih km'!I7</f>
        <v>#DIV/0!</v>
      </c>
      <c r="J21" s="42" t="e">
        <f>J7/'Št. prevoženih km'!J7</f>
        <v>#DIV/0!</v>
      </c>
      <c r="K21" s="42" t="e">
        <f>K7/'Št. prevoženih km'!K7</f>
        <v>#DIV/0!</v>
      </c>
      <c r="L21" s="42" t="e">
        <f>L7/'Št. prevoženih km'!L7</f>
        <v>#DIV/0!</v>
      </c>
      <c r="M21" s="42">
        <f>M7/'Št. prevoženih km'!M7</f>
        <v>2.2274595481452253</v>
      </c>
      <c r="N21" s="42">
        <f>N7/'Št. prevoženih km'!N7</f>
        <v>2.2025899515790734</v>
      </c>
      <c r="O21" s="42">
        <f>O7/'Št. prevoženih km'!O7</f>
        <v>2.1739321280248349</v>
      </c>
      <c r="P21" s="42">
        <f>P7/'Št. prevoženih km'!P7</f>
        <v>2.0504830197547204</v>
      </c>
      <c r="Q21" s="42">
        <f>Q7/'Št. prevoženih km'!Q7</f>
        <v>1.8907568679336237</v>
      </c>
      <c r="R21" s="42">
        <f>R7/'Št. prevoženih km'!R7</f>
        <v>1.815644659478117</v>
      </c>
      <c r="S21" s="42">
        <f>S7/'Št. prevoženih km'!S7</f>
        <v>1.764440123485119</v>
      </c>
      <c r="T21" s="42">
        <f>T7/'Št. prevoženih km'!T7</f>
        <v>1.7242360763957365</v>
      </c>
      <c r="U21" s="42">
        <f>U7/'Št. prevoženih km'!U7</f>
        <v>1.70283199251137</v>
      </c>
      <c r="V21" s="42">
        <f>V7/'Št. prevoženih km'!V7</f>
        <v>1.6892439039628568</v>
      </c>
      <c r="W21" s="42">
        <f>W7/'Št. prevoženih km'!W7</f>
        <v>1.6778309966555249</v>
      </c>
    </row>
    <row r="22" spans="2:23" x14ac:dyDescent="0.35">
      <c r="B22" s="31" t="s">
        <v>237</v>
      </c>
      <c r="C22" s="42">
        <f>C8/'Št. prevoženih km'!C8</f>
        <v>3.2898065978646231</v>
      </c>
      <c r="D22" s="42"/>
      <c r="E22" s="42"/>
      <c r="F22" s="42"/>
      <c r="G22" s="42"/>
      <c r="H22" s="42">
        <f>H8/'Št. prevoženih km'!H8</f>
        <v>3.2898486372221405</v>
      </c>
      <c r="I22" s="42">
        <f>I8/'Št. prevoženih km'!I8</f>
        <v>3.2898512582496195</v>
      </c>
      <c r="J22" s="42">
        <f>J8/'Št. prevoženih km'!J8</f>
        <v>3.2898541632287994</v>
      </c>
      <c r="K22" s="42">
        <f>K8/'Št. prevoženih km'!K8</f>
        <v>3.2898555124036464</v>
      </c>
      <c r="L22" s="42">
        <f>L8/'Št. prevoženih km'!L8</f>
        <v>3.2898562245562979</v>
      </c>
      <c r="M22" s="42">
        <f>M8/'Št. prevoženih km'!M8</f>
        <v>3.2898566444657709</v>
      </c>
      <c r="N22" s="42">
        <f>N8/'Št. prevoženih km'!N8</f>
        <v>3.2898568678232416</v>
      </c>
      <c r="O22" s="42">
        <f>O8/'Št. prevoženih km'!O8</f>
        <v>3.2898570094569259</v>
      </c>
      <c r="P22" s="42">
        <f>P8/'Št. prevoženih km'!P8</f>
        <v>3.2835464516503521</v>
      </c>
      <c r="Q22" s="42">
        <f>Q8/'Št. prevoženih km'!Q8</f>
        <v>3.2392640774441648</v>
      </c>
      <c r="R22" s="42">
        <f>R8/'Št. prevoženih km'!R8</f>
        <v>3.1380969663191576</v>
      </c>
      <c r="S22" s="42">
        <f>S8/'Št. prevoženih km'!S8</f>
        <v>3.0107674301456133</v>
      </c>
      <c r="T22" s="42">
        <f>T8/'Št. prevoženih km'!T8</f>
        <v>2.8955809501263152</v>
      </c>
      <c r="U22" s="42">
        <f>U8/'Št. prevoženih km'!U8</f>
        <v>2.8275179257525824</v>
      </c>
      <c r="V22" s="42">
        <f>V8/'Št. prevoženih km'!V8</f>
        <v>2.8436590951796479</v>
      </c>
      <c r="W22" s="42">
        <f>W8/'Št. prevoženih km'!W8</f>
        <v>2.9426304903112599</v>
      </c>
    </row>
    <row r="23" spans="2:23" x14ac:dyDescent="0.35">
      <c r="B23" s="31" t="s">
        <v>238</v>
      </c>
      <c r="C23" s="42"/>
      <c r="D23" s="42"/>
      <c r="E23" s="42"/>
      <c r="F23" s="42"/>
      <c r="G23" s="42"/>
      <c r="H23" s="42">
        <f>H9/'Št. prevoženih km'!H9</f>
        <v>2.4629048969376202</v>
      </c>
      <c r="I23" s="42">
        <f>I9/'Št. prevoženih km'!I9</f>
        <v>2.4629048969376188</v>
      </c>
      <c r="J23" s="42">
        <f>J9/'Št. prevoženih km'!J9</f>
        <v>2.4629048969376197</v>
      </c>
      <c r="K23" s="42">
        <f>K9/'Št. prevoženih km'!K9</f>
        <v>2.4629048969376188</v>
      </c>
      <c r="L23" s="42">
        <f>L9/'Št. prevoženih km'!L9</f>
        <v>2.4629048969376184</v>
      </c>
      <c r="M23" s="42">
        <f>M9/'Št. prevoženih km'!M9</f>
        <v>2.4629048969376188</v>
      </c>
      <c r="N23" s="42">
        <f>N9/'Št. prevoženih km'!N9</f>
        <v>2.4629048969376188</v>
      </c>
      <c r="O23" s="42">
        <f>O9/'Št. prevoženih km'!O9</f>
        <v>2.4629048969376188</v>
      </c>
      <c r="P23" s="42">
        <f>P9/'Št. prevoženih km'!P9</f>
        <v>2.4302156679203795</v>
      </c>
      <c r="Q23" s="42">
        <f>Q9/'Št. prevoženih km'!Q9</f>
        <v>2.3509288479087984</v>
      </c>
      <c r="R23" s="42">
        <f>R9/'Št. prevoženih km'!R9</f>
        <v>2.2532740805020284</v>
      </c>
      <c r="S23" s="42">
        <f>S9/'Št. prevoženih km'!S9</f>
        <v>2.1048901187278459</v>
      </c>
      <c r="T23" s="42">
        <f>T9/'Št. prevoženih km'!T9</f>
        <v>1.9587063760100718</v>
      </c>
      <c r="U23" s="42">
        <f>U9/'Št. prevoženih km'!U9</f>
        <v>1.8884850277075578</v>
      </c>
      <c r="V23" s="42">
        <f>V9/'Št. prevoženih km'!V9</f>
        <v>1.8514754886754512</v>
      </c>
      <c r="W23" s="42">
        <f>W9/'Št. prevoženih km'!W9</f>
        <v>1.897722166645665</v>
      </c>
    </row>
    <row r="24" spans="2:23" x14ac:dyDescent="0.35">
      <c r="B24" s="33" t="s">
        <v>239</v>
      </c>
      <c r="C24" s="42"/>
      <c r="D24" s="42"/>
      <c r="E24" s="42"/>
      <c r="F24" s="42"/>
      <c r="G24" s="42"/>
      <c r="H24" s="42">
        <f>H10/'Št. prevoženih km'!H10</f>
        <v>0.495585798816568</v>
      </c>
      <c r="I24" s="42">
        <f>I10/'Št. prevoženih km'!I10</f>
        <v>0.49558579881656806</v>
      </c>
      <c r="J24" s="42">
        <f>J10/'Št. prevoženih km'!J10</f>
        <v>0.49558579881656795</v>
      </c>
      <c r="K24" s="42">
        <f>K10/'Št. prevoženih km'!K10</f>
        <v>0.495585798816568</v>
      </c>
      <c r="L24" s="42">
        <f>L10/'Št. prevoženih km'!L10</f>
        <v>0.49558579881656828</v>
      </c>
      <c r="M24" s="42">
        <f>M10/'Št. prevoženih km'!M10</f>
        <v>0.49558579881656811</v>
      </c>
      <c r="N24" s="42">
        <f>N10/'Št. prevoženih km'!N10</f>
        <v>0.49558579881656784</v>
      </c>
      <c r="O24" s="42">
        <f>O10/'Št. prevoženih km'!O10</f>
        <v>0.49558579881656822</v>
      </c>
      <c r="P24" s="42">
        <f>P10/'Št. prevoženih km'!P10</f>
        <v>0.50492491237905579</v>
      </c>
      <c r="Q24" s="42">
        <f>Q10/'Št. prevoženih km'!Q10</f>
        <v>0.52835475162982415</v>
      </c>
      <c r="R24" s="42">
        <f>R10/'Št. prevoženih km'!R10</f>
        <v>0.55253703993422698</v>
      </c>
      <c r="S24" s="42">
        <f>S10/'Št. prevoženih km'!S10</f>
        <v>0.53869571461524779</v>
      </c>
      <c r="T24" s="42">
        <f>T10/'Št. prevoženih km'!T10</f>
        <v>0.49362416569031686</v>
      </c>
      <c r="U24" s="42">
        <f>U10/'Št. prevoženih km'!U10</f>
        <v>0.46107143880937157</v>
      </c>
      <c r="V24" s="42">
        <f>V10/'Št. prevoženih km'!V10</f>
        <v>0.4413303353922049</v>
      </c>
      <c r="W24" s="42">
        <f>W10/'Št. prevoženih km'!W10</f>
        <v>0.43187253145739252</v>
      </c>
    </row>
    <row r="25" spans="2:23" x14ac:dyDescent="0.35">
      <c r="B25" s="33" t="s">
        <v>240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>
        <f>R11/'Št. prevoženih km'!R11</f>
        <v>0.76542269678054953</v>
      </c>
      <c r="S25" s="42">
        <f>S11/'Št. prevoženih km'!S11</f>
        <v>0.73837440606062354</v>
      </c>
      <c r="T25" s="42">
        <f>T11/'Št. prevoženih km'!T11</f>
        <v>0.71438581648610966</v>
      </c>
      <c r="U25" s="42">
        <f>U11/'Št. prevoženih km'!U11</f>
        <v>0.68999313451015032</v>
      </c>
      <c r="V25" s="42">
        <f>V11/'Št. prevoženih km'!V11</f>
        <v>0.66328592911345607</v>
      </c>
      <c r="W25" s="42">
        <f>W11/'Št. prevoženih km'!W11</f>
        <v>0.64415579610870544</v>
      </c>
    </row>
    <row r="27" spans="2:23" x14ac:dyDescent="0.35">
      <c r="B27" t="s">
        <v>255</v>
      </c>
    </row>
    <row r="28" spans="2:23" x14ac:dyDescent="0.35">
      <c r="C28" s="30">
        <v>2005</v>
      </c>
      <c r="D28" s="30">
        <v>2006</v>
      </c>
      <c r="E28" s="30">
        <v>2007</v>
      </c>
      <c r="F28" s="30">
        <v>2008</v>
      </c>
      <c r="G28" s="30">
        <v>2009</v>
      </c>
      <c r="H28" s="30">
        <v>2010</v>
      </c>
      <c r="I28" s="30">
        <v>2011</v>
      </c>
      <c r="J28" s="30">
        <v>2012</v>
      </c>
      <c r="K28" s="30">
        <v>2013</v>
      </c>
      <c r="L28" s="30">
        <v>2014</v>
      </c>
      <c r="M28" s="30">
        <v>2015</v>
      </c>
      <c r="N28" s="30">
        <v>2016</v>
      </c>
      <c r="O28" s="30">
        <v>2017</v>
      </c>
      <c r="P28" s="30">
        <v>2020</v>
      </c>
      <c r="Q28" s="30">
        <v>2025</v>
      </c>
      <c r="R28" s="30">
        <v>2030</v>
      </c>
      <c r="S28" s="30">
        <v>2035</v>
      </c>
      <c r="T28" s="30">
        <v>2040</v>
      </c>
      <c r="U28" s="30">
        <v>2045</v>
      </c>
      <c r="V28" s="30">
        <v>2050</v>
      </c>
      <c r="W28" s="30">
        <v>2055</v>
      </c>
    </row>
    <row r="29" spans="2:23" x14ac:dyDescent="0.35">
      <c r="B29" s="31" t="s">
        <v>231</v>
      </c>
      <c r="C29" s="33">
        <f t="shared" ref="C29:C38" si="1">C2*C16</f>
        <v>54990.751545797277</v>
      </c>
      <c r="D29" s="33"/>
      <c r="E29" s="33"/>
      <c r="F29" s="33"/>
      <c r="G29" s="33"/>
      <c r="H29" s="33">
        <f t="shared" ref="H29:W36" si="2">H2*H16</f>
        <v>48709.81147620613</v>
      </c>
      <c r="I29" s="33">
        <f t="shared" si="2"/>
        <v>47231.933045627702</v>
      </c>
      <c r="J29" s="33">
        <f t="shared" si="2"/>
        <v>45462.044096165089</v>
      </c>
      <c r="K29" s="33">
        <f t="shared" si="2"/>
        <v>43508.945763474469</v>
      </c>
      <c r="L29" s="33">
        <f t="shared" si="2"/>
        <v>41798.116650242715</v>
      </c>
      <c r="M29" s="33">
        <f t="shared" si="2"/>
        <v>40177.80421234719</v>
      </c>
      <c r="N29" s="33">
        <f t="shared" si="2"/>
        <v>38890.756478364798</v>
      </c>
      <c r="O29" s="33">
        <f t="shared" si="2"/>
        <v>37732.800660473607</v>
      </c>
      <c r="P29" s="33">
        <f t="shared" si="2"/>
        <v>34093.561888248776</v>
      </c>
      <c r="Q29" s="33">
        <f t="shared" si="2"/>
        <v>27966.67314242091</v>
      </c>
      <c r="R29" s="33">
        <f t="shared" si="2"/>
        <v>20107.436927403505</v>
      </c>
      <c r="S29" s="33">
        <f t="shared" si="2"/>
        <v>11580.181193284361</v>
      </c>
      <c r="T29" s="33">
        <f t="shared" si="2"/>
        <v>4706.6189996373705</v>
      </c>
      <c r="U29" s="33">
        <f t="shared" si="2"/>
        <v>1073.8826616054746</v>
      </c>
      <c r="V29" s="33">
        <f t="shared" si="2"/>
        <v>304.0477044855416</v>
      </c>
      <c r="W29" s="33">
        <f t="shared" si="2"/>
        <v>103.87501055482605</v>
      </c>
    </row>
    <row r="30" spans="2:23" x14ac:dyDescent="0.35">
      <c r="B30" s="33" t="s">
        <v>232</v>
      </c>
      <c r="C30" s="33">
        <f t="shared" si="1"/>
        <v>2.1145735689069816</v>
      </c>
      <c r="D30" s="33"/>
      <c r="E30" s="33"/>
      <c r="F30" s="33"/>
      <c r="G30" s="33"/>
      <c r="H30" s="33">
        <f t="shared" si="2"/>
        <v>21.317250618017312</v>
      </c>
      <c r="I30" s="33">
        <f t="shared" si="2"/>
        <v>25.231270363568942</v>
      </c>
      <c r="J30" s="33">
        <f t="shared" si="2"/>
        <v>28.459286195731135</v>
      </c>
      <c r="K30" s="33">
        <f t="shared" si="2"/>
        <v>32.692183710864654</v>
      </c>
      <c r="L30" s="33">
        <f t="shared" si="2"/>
        <v>39.638778544271283</v>
      </c>
      <c r="M30" s="33">
        <f t="shared" si="2"/>
        <v>47.760457534115666</v>
      </c>
      <c r="N30" s="33">
        <f t="shared" si="2"/>
        <v>61.406449551159064</v>
      </c>
      <c r="O30" s="33">
        <f t="shared" si="2"/>
        <v>90.041740363234837</v>
      </c>
      <c r="P30" s="33">
        <f t="shared" si="2"/>
        <v>363.04866200292264</v>
      </c>
      <c r="Q30" s="33">
        <f t="shared" si="2"/>
        <v>1558.599835056873</v>
      </c>
      <c r="R30" s="33">
        <f t="shared" si="2"/>
        <v>2616.0200319965311</v>
      </c>
      <c r="S30" s="33">
        <f t="shared" si="2"/>
        <v>2630.0494102724206</v>
      </c>
      <c r="T30" s="33">
        <f t="shared" si="2"/>
        <v>1848.0885575138666</v>
      </c>
      <c r="U30" s="33">
        <f t="shared" si="2"/>
        <v>921.99504395021438</v>
      </c>
      <c r="V30" s="33">
        <f t="shared" si="2"/>
        <v>358.9099974275145</v>
      </c>
      <c r="W30" s="33">
        <f t="shared" si="2"/>
        <v>135.36784098539945</v>
      </c>
    </row>
    <row r="31" spans="2:23" x14ac:dyDescent="0.35">
      <c r="B31" s="33" t="s">
        <v>233</v>
      </c>
      <c r="C31" s="33">
        <f t="shared" si="1"/>
        <v>0</v>
      </c>
      <c r="D31" s="33"/>
      <c r="E31" s="33"/>
      <c r="F31" s="33"/>
      <c r="G31" s="33"/>
      <c r="H31" s="33">
        <f t="shared" si="2"/>
        <v>0</v>
      </c>
      <c r="I31" s="33" t="e">
        <f t="shared" si="2"/>
        <v>#DIV/0!</v>
      </c>
      <c r="J31" s="33">
        <f t="shared" si="2"/>
        <v>0.19767688611820067</v>
      </c>
      <c r="K31" s="33">
        <f t="shared" si="2"/>
        <v>0.63436248518827543</v>
      </c>
      <c r="L31" s="33">
        <f t="shared" si="2"/>
        <v>1.0352867550808471</v>
      </c>
      <c r="M31" s="33">
        <f t="shared" si="2"/>
        <v>1.8743557110326019</v>
      </c>
      <c r="N31" s="33">
        <f t="shared" si="2"/>
        <v>3.827455392461899</v>
      </c>
      <c r="O31" s="33">
        <f t="shared" si="2"/>
        <v>8.780023697983566</v>
      </c>
      <c r="P31" s="33">
        <f t="shared" si="2"/>
        <v>48.634344802144291</v>
      </c>
      <c r="Q31" s="33">
        <f t="shared" si="2"/>
        <v>494.82735096103301</v>
      </c>
      <c r="R31" s="33">
        <f t="shared" si="2"/>
        <v>1785.9489186111459</v>
      </c>
      <c r="S31" s="33">
        <f t="shared" si="2"/>
        <v>3256.8120954851793</v>
      </c>
      <c r="T31" s="33">
        <f t="shared" si="2"/>
        <v>4012.106104382558</v>
      </c>
      <c r="U31" s="33">
        <f t="shared" si="2"/>
        <v>3146.0329393161069</v>
      </c>
      <c r="V31" s="33">
        <f t="shared" si="2"/>
        <v>1752.8034203622542</v>
      </c>
      <c r="W31" s="33">
        <f t="shared" si="2"/>
        <v>708.69192726233257</v>
      </c>
    </row>
    <row r="32" spans="2:23" x14ac:dyDescent="0.35">
      <c r="B32" s="31" t="s">
        <v>234</v>
      </c>
      <c r="C32" s="33">
        <f t="shared" si="1"/>
        <v>22271.956795744001</v>
      </c>
      <c r="D32" s="33"/>
      <c r="E32" s="33"/>
      <c r="F32" s="33"/>
      <c r="G32" s="33"/>
      <c r="H32" s="33">
        <f t="shared" si="2"/>
        <v>43343.767748951286</v>
      </c>
      <c r="I32" s="33">
        <f t="shared" si="2"/>
        <v>44799.524554761301</v>
      </c>
      <c r="J32" s="33">
        <f t="shared" si="2"/>
        <v>46518.327866066706</v>
      </c>
      <c r="K32" s="33">
        <f t="shared" si="2"/>
        <v>47897.60185284356</v>
      </c>
      <c r="L32" s="33">
        <f t="shared" si="2"/>
        <v>49515.620299209426</v>
      </c>
      <c r="M32" s="33">
        <f t="shared" si="2"/>
        <v>51295.986839508252</v>
      </c>
      <c r="N32" s="33">
        <f t="shared" si="2"/>
        <v>53565.205105620429</v>
      </c>
      <c r="O32" s="33">
        <f t="shared" si="2"/>
        <v>56217.065702880471</v>
      </c>
      <c r="P32" s="33">
        <f t="shared" si="2"/>
        <v>63106.080026997544</v>
      </c>
      <c r="Q32" s="33">
        <f t="shared" si="2"/>
        <v>58945.937626075414</v>
      </c>
      <c r="R32" s="33">
        <f t="shared" si="2"/>
        <v>43430.556360565235</v>
      </c>
      <c r="S32" s="33">
        <f t="shared" si="2"/>
        <v>25700.843454099759</v>
      </c>
      <c r="T32" s="33">
        <f t="shared" si="2"/>
        <v>6995.6030373803051</v>
      </c>
      <c r="U32" s="33">
        <f t="shared" si="2"/>
        <v>1906.7470924029471</v>
      </c>
      <c r="V32" s="33">
        <f t="shared" si="2"/>
        <v>649.55432768129981</v>
      </c>
      <c r="W32" s="33">
        <f t="shared" si="2"/>
        <v>234.63983019784624</v>
      </c>
    </row>
    <row r="33" spans="2:23" x14ac:dyDescent="0.35">
      <c r="B33" s="33" t="s">
        <v>235</v>
      </c>
      <c r="C33" s="33">
        <f t="shared" si="1"/>
        <v>0</v>
      </c>
      <c r="D33" s="33"/>
      <c r="E33" s="33"/>
      <c r="F33" s="33"/>
      <c r="G33" s="33"/>
      <c r="H33" s="33">
        <f t="shared" si="2"/>
        <v>0</v>
      </c>
      <c r="I33" s="33" t="e">
        <f t="shared" si="2"/>
        <v>#DIV/0!</v>
      </c>
      <c r="J33" s="33">
        <f t="shared" si="2"/>
        <v>1.9394786858798037</v>
      </c>
      <c r="K33" s="33">
        <f t="shared" si="2"/>
        <v>3.6777991498076554</v>
      </c>
      <c r="L33" s="33">
        <f t="shared" si="2"/>
        <v>4.9698163433058991</v>
      </c>
      <c r="M33" s="33">
        <f t="shared" si="2"/>
        <v>7.035156496141342</v>
      </c>
      <c r="N33" s="33">
        <f t="shared" si="2"/>
        <v>14.100089839242035</v>
      </c>
      <c r="O33" s="33">
        <f t="shared" si="2"/>
        <v>23.037377973441838</v>
      </c>
      <c r="P33" s="33">
        <f t="shared" si="2"/>
        <v>72.64883770124365</v>
      </c>
      <c r="Q33" s="33">
        <f t="shared" si="2"/>
        <v>459.38653824670706</v>
      </c>
      <c r="R33" s="33">
        <f t="shared" si="2"/>
        <v>899.74195778070145</v>
      </c>
      <c r="S33" s="33">
        <f t="shared" si="2"/>
        <v>1026.1325496383456</v>
      </c>
      <c r="T33" s="33">
        <f t="shared" si="2"/>
        <v>852.21050532600214</v>
      </c>
      <c r="U33" s="33">
        <f t="shared" si="2"/>
        <v>536.03209124763293</v>
      </c>
      <c r="V33" s="33">
        <f t="shared" si="2"/>
        <v>277.53365907058276</v>
      </c>
      <c r="W33" s="33">
        <f t="shared" si="2"/>
        <v>130.92847304667021</v>
      </c>
    </row>
    <row r="34" spans="2:23" x14ac:dyDescent="0.35">
      <c r="B34" s="33" t="s">
        <v>236</v>
      </c>
      <c r="C34" s="33">
        <f t="shared" si="1"/>
        <v>0</v>
      </c>
      <c r="D34" s="33"/>
      <c r="E34" s="33"/>
      <c r="F34" s="33"/>
      <c r="G34" s="33"/>
      <c r="H34" s="33">
        <f t="shared" si="2"/>
        <v>0</v>
      </c>
      <c r="I34" s="33" t="e">
        <f t="shared" si="2"/>
        <v>#DIV/0!</v>
      </c>
      <c r="J34" s="33" t="e">
        <f t="shared" si="2"/>
        <v>#DIV/0!</v>
      </c>
      <c r="K34" s="33" t="e">
        <f t="shared" si="2"/>
        <v>#DIV/0!</v>
      </c>
      <c r="L34" s="33" t="e">
        <f t="shared" si="2"/>
        <v>#DIV/0!</v>
      </c>
      <c r="M34" s="33">
        <f t="shared" si="2"/>
        <v>0.10949848461315513</v>
      </c>
      <c r="N34" s="33">
        <f t="shared" si="2"/>
        <v>0.58826589991842704</v>
      </c>
      <c r="O34" s="33">
        <f t="shared" si="2"/>
        <v>1.2419894478834377</v>
      </c>
      <c r="P34" s="33">
        <f t="shared" si="2"/>
        <v>6.281208937108504</v>
      </c>
      <c r="Q34" s="33">
        <f t="shared" si="2"/>
        <v>129.20644691657574</v>
      </c>
      <c r="R34" s="33">
        <f t="shared" si="2"/>
        <v>563.21549723515318</v>
      </c>
      <c r="S34" s="33">
        <f t="shared" si="2"/>
        <v>1115.9986899803191</v>
      </c>
      <c r="T34" s="33">
        <f t="shared" si="2"/>
        <v>1467.5104059168375</v>
      </c>
      <c r="U34" s="33">
        <f t="shared" si="2"/>
        <v>1221.6295954680897</v>
      </c>
      <c r="V34" s="33">
        <f t="shared" si="2"/>
        <v>786.91726617571987</v>
      </c>
      <c r="W34" s="33">
        <f t="shared" si="2"/>
        <v>409.81192865888124</v>
      </c>
    </row>
    <row r="35" spans="2:23" x14ac:dyDescent="0.35">
      <c r="B35" s="31" t="s">
        <v>237</v>
      </c>
      <c r="C35" s="33">
        <f t="shared" si="1"/>
        <v>48.580500762200046</v>
      </c>
      <c r="D35" s="33"/>
      <c r="E35" s="33"/>
      <c r="F35" s="33"/>
      <c r="G35" s="33"/>
      <c r="H35" s="33">
        <f t="shared" si="2"/>
        <v>482.13385404603167</v>
      </c>
      <c r="I35" s="33">
        <f t="shared" si="2"/>
        <v>613.66330894327348</v>
      </c>
      <c r="J35" s="33">
        <f t="shared" si="2"/>
        <v>981.59553204941028</v>
      </c>
      <c r="K35" s="33">
        <f t="shared" si="2"/>
        <v>1303.3784552933619</v>
      </c>
      <c r="L35" s="33">
        <f t="shared" si="2"/>
        <v>1585.0691894392316</v>
      </c>
      <c r="M35" s="33">
        <f t="shared" si="2"/>
        <v>1862.4356145139586</v>
      </c>
      <c r="N35" s="33">
        <f t="shared" si="2"/>
        <v>2065.7733357491916</v>
      </c>
      <c r="O35" s="33">
        <f t="shared" si="2"/>
        <v>2202.738682796069</v>
      </c>
      <c r="P35" s="33">
        <f t="shared" si="2"/>
        <v>2364.0964869381855</v>
      </c>
      <c r="Q35" s="33">
        <f t="shared" si="2"/>
        <v>2238.2532333572644</v>
      </c>
      <c r="R35" s="33">
        <f t="shared" si="2"/>
        <v>1995.9012889164715</v>
      </c>
      <c r="S35" s="33">
        <f t="shared" si="2"/>
        <v>1511.9921573848849</v>
      </c>
      <c r="T35" s="33">
        <f t="shared" si="2"/>
        <v>833.36026923587167</v>
      </c>
      <c r="U35" s="33">
        <f t="shared" si="2"/>
        <v>348.71581353062209</v>
      </c>
      <c r="V35" s="33">
        <f t="shared" si="2"/>
        <v>143.77359155470245</v>
      </c>
      <c r="W35" s="33">
        <f t="shared" si="2"/>
        <v>69.078521615274724</v>
      </c>
    </row>
    <row r="36" spans="2:23" x14ac:dyDescent="0.35">
      <c r="B36" s="31" t="s">
        <v>238</v>
      </c>
      <c r="C36" s="33">
        <f t="shared" si="1"/>
        <v>0</v>
      </c>
      <c r="D36" s="33"/>
      <c r="E36" s="33"/>
      <c r="F36" s="33"/>
      <c r="G36" s="33"/>
      <c r="H36" s="33">
        <f t="shared" si="2"/>
        <v>1.5806628767118627</v>
      </c>
      <c r="I36" s="33">
        <f t="shared" si="2"/>
        <v>1.8272857920232186</v>
      </c>
      <c r="J36" s="33">
        <f t="shared" si="2"/>
        <v>2.5855979316652373</v>
      </c>
      <c r="K36" s="33">
        <f t="shared" si="2"/>
        <v>4.282993303195413</v>
      </c>
      <c r="L36" s="33">
        <f t="shared" si="2"/>
        <v>9.3141095908711922</v>
      </c>
      <c r="M36" s="33">
        <f t="shared" si="2"/>
        <v>15.85796523768118</v>
      </c>
      <c r="N36" s="33">
        <f t="shared" si="2"/>
        <v>19.340991991081946</v>
      </c>
      <c r="O36" s="33">
        <f t="shared" si="2"/>
        <v>23.76552175610982</v>
      </c>
      <c r="P36" s="33">
        <f t="shared" si="2"/>
        <v>52.645594191986277</v>
      </c>
      <c r="Q36" s="33">
        <f t="shared" si="2"/>
        <v>89.76006483432603</v>
      </c>
      <c r="R36" s="33">
        <f t="shared" si="2"/>
        <v>101.55618600158951</v>
      </c>
      <c r="S36" s="33">
        <f t="shared" si="2"/>
        <v>95.741563521616996</v>
      </c>
      <c r="T36" s="33">
        <f t="shared" si="2"/>
        <v>74.705629414366371</v>
      </c>
      <c r="U36" s="33">
        <f t="shared" si="2"/>
        <v>45.075880518870683</v>
      </c>
      <c r="V36" s="33">
        <f t="shared" si="2"/>
        <v>23.036715029174516</v>
      </c>
      <c r="W36" s="33">
        <f t="shared" si="2"/>
        <v>8.8862970780848904</v>
      </c>
    </row>
    <row r="37" spans="2:23" x14ac:dyDescent="0.35">
      <c r="B37" s="33" t="s">
        <v>239</v>
      </c>
      <c r="C37" s="33">
        <f t="shared" si="1"/>
        <v>0</v>
      </c>
      <c r="D37" s="33"/>
      <c r="E37" s="33"/>
      <c r="F37" s="33"/>
      <c r="G37" s="33"/>
      <c r="H37" s="33">
        <f t="shared" ref="H37:W38" si="3">H10*H24</f>
        <v>2.3665609867488027E-2</v>
      </c>
      <c r="I37" s="33">
        <f t="shared" si="3"/>
        <v>6.0469465180677542E-2</v>
      </c>
      <c r="J37" s="33">
        <f t="shared" si="3"/>
        <v>0.12941570590942714</v>
      </c>
      <c r="K37" s="33">
        <f t="shared" si="3"/>
        <v>0.19632225400967646</v>
      </c>
      <c r="L37" s="33">
        <f t="shared" si="3"/>
        <v>0.34210649170568097</v>
      </c>
      <c r="M37" s="33">
        <f t="shared" si="3"/>
        <v>0.79992021931434976</v>
      </c>
      <c r="N37" s="33">
        <f t="shared" si="3"/>
        <v>1.4234681512400478</v>
      </c>
      <c r="O37" s="33">
        <f t="shared" si="3"/>
        <v>2.5408137047027983</v>
      </c>
      <c r="P37" s="33">
        <f t="shared" si="3"/>
        <v>12.132189060187294</v>
      </c>
      <c r="Q37" s="33">
        <f t="shared" si="3"/>
        <v>92.860000273622319</v>
      </c>
      <c r="R37" s="33">
        <f t="shared" si="3"/>
        <v>648.53651624316637</v>
      </c>
      <c r="S37" s="33">
        <f t="shared" si="3"/>
        <v>1659.9410127262474</v>
      </c>
      <c r="T37" s="33">
        <f t="shared" si="3"/>
        <v>2677.6812524551615</v>
      </c>
      <c r="U37" s="33">
        <f t="shared" si="3"/>
        <v>2882.7681575831289</v>
      </c>
      <c r="V37" s="33">
        <f t="shared" si="3"/>
        <v>2653.4303626176952</v>
      </c>
      <c r="W37" s="33">
        <f t="shared" si="3"/>
        <v>2434.0615194104353</v>
      </c>
    </row>
    <row r="38" spans="2:23" x14ac:dyDescent="0.35">
      <c r="B38" s="33" t="s">
        <v>240</v>
      </c>
      <c r="C38" s="33">
        <f t="shared" si="1"/>
        <v>0</v>
      </c>
      <c r="D38" s="33"/>
      <c r="E38" s="33"/>
      <c r="F38" s="33"/>
      <c r="G38" s="33"/>
      <c r="H38" s="33">
        <f t="shared" si="3"/>
        <v>0</v>
      </c>
      <c r="I38" s="33">
        <f t="shared" si="3"/>
        <v>0</v>
      </c>
      <c r="J38" s="33">
        <f t="shared" si="3"/>
        <v>0</v>
      </c>
      <c r="K38" s="33">
        <f t="shared" si="3"/>
        <v>0</v>
      </c>
      <c r="L38" s="33">
        <f t="shared" si="3"/>
        <v>0</v>
      </c>
      <c r="M38" s="33">
        <f t="shared" si="3"/>
        <v>0</v>
      </c>
      <c r="N38" s="33">
        <f t="shared" si="3"/>
        <v>0</v>
      </c>
      <c r="O38" s="33">
        <f t="shared" si="3"/>
        <v>0</v>
      </c>
      <c r="P38" s="33">
        <f t="shared" si="3"/>
        <v>0</v>
      </c>
      <c r="Q38" s="33">
        <f t="shared" si="3"/>
        <v>0</v>
      </c>
      <c r="R38" s="33">
        <f t="shared" si="3"/>
        <v>41.83377510559378</v>
      </c>
      <c r="S38" s="33">
        <f t="shared" si="3"/>
        <v>146.06717589367</v>
      </c>
      <c r="T38" s="33">
        <f t="shared" si="3"/>
        <v>326.69904723482063</v>
      </c>
      <c r="U38" s="33">
        <f t="shared" si="3"/>
        <v>539.01263825111687</v>
      </c>
      <c r="V38" s="33">
        <f t="shared" si="3"/>
        <v>823.48848514776205</v>
      </c>
      <c r="W38" s="33">
        <f t="shared" si="3"/>
        <v>1138.7010201125831</v>
      </c>
    </row>
    <row r="39" spans="2:23" x14ac:dyDescent="0.35">
      <c r="C39" s="33">
        <f>SUM(C29:C38)</f>
        <v>77313.403415872381</v>
      </c>
      <c r="D39" s="33"/>
      <c r="E39" s="33"/>
      <c r="F39" s="33"/>
      <c r="G39" s="33"/>
      <c r="H39" s="33">
        <f t="shared" ref="H39:W39" si="4">SUM(H29:H38)</f>
        <v>92558.634658308045</v>
      </c>
      <c r="I39" s="33" t="e">
        <f t="shared" si="4"/>
        <v>#DIV/0!</v>
      </c>
      <c r="J39" s="33" t="e">
        <f t="shared" si="4"/>
        <v>#DIV/0!</v>
      </c>
      <c r="K39" s="33" t="e">
        <f t="shared" si="4"/>
        <v>#DIV/0!</v>
      </c>
      <c r="L39" s="33" t="e">
        <f t="shared" si="4"/>
        <v>#DIV/0!</v>
      </c>
      <c r="M39" s="33">
        <f t="shared" si="4"/>
        <v>93409.664020052311</v>
      </c>
      <c r="N39" s="33">
        <f t="shared" si="4"/>
        <v>94622.421640559522</v>
      </c>
      <c r="O39" s="33">
        <f t="shared" si="4"/>
        <v>96302.012513093505</v>
      </c>
      <c r="P39" s="33">
        <f t="shared" si="4"/>
        <v>100119.12923888011</v>
      </c>
      <c r="Q39" s="33">
        <f t="shared" si="4"/>
        <v>91975.504238142719</v>
      </c>
      <c r="R39" s="33">
        <f t="shared" si="4"/>
        <v>72190.747459859092</v>
      </c>
      <c r="S39" s="33">
        <f t="shared" si="4"/>
        <v>48723.759302286802</v>
      </c>
      <c r="T39" s="33">
        <f t="shared" si="4"/>
        <v>23794.583808497158</v>
      </c>
      <c r="U39" s="33">
        <f t="shared" si="4"/>
        <v>12621.891913874204</v>
      </c>
      <c r="V39" s="33">
        <f t="shared" si="4"/>
        <v>7773.4955295522477</v>
      </c>
      <c r="W39" s="33">
        <f t="shared" si="4"/>
        <v>5374.0423689223335</v>
      </c>
    </row>
    <row r="40" spans="2:23" x14ac:dyDescent="0.35"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2:23" x14ac:dyDescent="0.35"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2:23" x14ac:dyDescent="0.35">
      <c r="C42" s="30">
        <v>2005</v>
      </c>
      <c r="D42" s="30">
        <v>2006</v>
      </c>
      <c r="E42" s="30">
        <v>2007</v>
      </c>
      <c r="F42" s="30">
        <v>2008</v>
      </c>
      <c r="G42" s="30">
        <v>2009</v>
      </c>
      <c r="H42" s="30">
        <v>2010</v>
      </c>
      <c r="I42" s="30">
        <v>2011</v>
      </c>
      <c r="J42" s="30">
        <v>2012</v>
      </c>
      <c r="K42" s="30">
        <v>2013</v>
      </c>
      <c r="L42" s="30">
        <v>2014</v>
      </c>
      <c r="M42" s="30">
        <v>2015</v>
      </c>
      <c r="N42" s="30">
        <v>2016</v>
      </c>
      <c r="O42" s="30">
        <v>2017</v>
      </c>
      <c r="P42" s="30">
        <v>2020</v>
      </c>
      <c r="Q42" s="30">
        <v>2025</v>
      </c>
      <c r="R42" s="30">
        <v>2030</v>
      </c>
      <c r="S42" s="30">
        <v>2035</v>
      </c>
      <c r="T42" s="30">
        <v>2040</v>
      </c>
      <c r="U42" s="30">
        <v>2045</v>
      </c>
      <c r="V42" s="30">
        <v>2050</v>
      </c>
      <c r="W42" s="30">
        <v>2055</v>
      </c>
    </row>
    <row r="43" spans="2:23" x14ac:dyDescent="0.35">
      <c r="B43" s="30" t="s">
        <v>245</v>
      </c>
      <c r="C43" s="33">
        <f>C29</f>
        <v>54990.751545797277</v>
      </c>
      <c r="D43" s="33"/>
      <c r="E43" s="33"/>
      <c r="F43" s="33"/>
      <c r="G43" s="33"/>
      <c r="H43" s="33">
        <f t="shared" ref="H43:W43" si="5">H29</f>
        <v>48709.81147620613</v>
      </c>
      <c r="I43" s="33">
        <f t="shared" si="5"/>
        <v>47231.933045627702</v>
      </c>
      <c r="J43" s="33">
        <f t="shared" si="5"/>
        <v>45462.044096165089</v>
      </c>
      <c r="K43" s="33">
        <f t="shared" si="5"/>
        <v>43508.945763474469</v>
      </c>
      <c r="L43" s="33">
        <f t="shared" si="5"/>
        <v>41798.116650242715</v>
      </c>
      <c r="M43" s="33">
        <f t="shared" si="5"/>
        <v>40177.80421234719</v>
      </c>
      <c r="N43" s="33">
        <f t="shared" si="5"/>
        <v>38890.756478364798</v>
      </c>
      <c r="O43" s="33">
        <f t="shared" si="5"/>
        <v>37732.800660473607</v>
      </c>
      <c r="P43" s="33">
        <f t="shared" si="5"/>
        <v>34093.561888248776</v>
      </c>
      <c r="Q43" s="33">
        <f t="shared" si="5"/>
        <v>27966.67314242091</v>
      </c>
      <c r="R43" s="33">
        <f t="shared" si="5"/>
        <v>20107.436927403505</v>
      </c>
      <c r="S43" s="33">
        <f t="shared" si="5"/>
        <v>11580.181193284361</v>
      </c>
      <c r="T43" s="33">
        <f t="shared" si="5"/>
        <v>4706.6189996373705</v>
      </c>
      <c r="U43" s="33">
        <f t="shared" si="5"/>
        <v>1073.8826616054746</v>
      </c>
      <c r="V43" s="33">
        <f t="shared" si="5"/>
        <v>304.0477044855416</v>
      </c>
      <c r="W43" s="33">
        <f t="shared" si="5"/>
        <v>103.87501055482605</v>
      </c>
    </row>
    <row r="44" spans="2:23" x14ac:dyDescent="0.35">
      <c r="B44" s="30" t="s">
        <v>246</v>
      </c>
      <c r="C44" s="33">
        <f>C32</f>
        <v>22271.956795744001</v>
      </c>
      <c r="D44" s="33"/>
      <c r="E44" s="33"/>
      <c r="F44" s="33"/>
      <c r="G44" s="33"/>
      <c r="H44" s="33">
        <f t="shared" ref="H44:W44" si="6">H32</f>
        <v>43343.767748951286</v>
      </c>
      <c r="I44" s="33">
        <f t="shared" si="6"/>
        <v>44799.524554761301</v>
      </c>
      <c r="J44" s="33">
        <f t="shared" si="6"/>
        <v>46518.327866066706</v>
      </c>
      <c r="K44" s="33">
        <f t="shared" si="6"/>
        <v>47897.60185284356</v>
      </c>
      <c r="L44" s="33">
        <f t="shared" si="6"/>
        <v>49515.620299209426</v>
      </c>
      <c r="M44" s="33">
        <f t="shared" si="6"/>
        <v>51295.986839508252</v>
      </c>
      <c r="N44" s="33">
        <f t="shared" si="6"/>
        <v>53565.205105620429</v>
      </c>
      <c r="O44" s="33">
        <f t="shared" si="6"/>
        <v>56217.065702880471</v>
      </c>
      <c r="P44" s="33">
        <f t="shared" si="6"/>
        <v>63106.080026997544</v>
      </c>
      <c r="Q44" s="33">
        <f t="shared" si="6"/>
        <v>58945.937626075414</v>
      </c>
      <c r="R44" s="33">
        <f t="shared" si="6"/>
        <v>43430.556360565235</v>
      </c>
      <c r="S44" s="33">
        <f t="shared" si="6"/>
        <v>25700.843454099759</v>
      </c>
      <c r="T44" s="33">
        <f t="shared" si="6"/>
        <v>6995.6030373803051</v>
      </c>
      <c r="U44" s="33">
        <f t="shared" si="6"/>
        <v>1906.7470924029471</v>
      </c>
      <c r="V44" s="33">
        <f t="shared" si="6"/>
        <v>649.55432768129981</v>
      </c>
      <c r="W44" s="33">
        <f t="shared" si="6"/>
        <v>234.63983019784624</v>
      </c>
    </row>
    <row r="45" spans="2:23" x14ac:dyDescent="0.35">
      <c r="B45" s="30" t="s">
        <v>247</v>
      </c>
      <c r="C45" s="33">
        <f>C35+C36</f>
        <v>48.580500762200046</v>
      </c>
      <c r="D45" s="33"/>
      <c r="E45" s="33"/>
      <c r="F45" s="33"/>
      <c r="G45" s="33"/>
      <c r="H45" s="33">
        <f t="shared" ref="H45:W45" si="7">H35+H36</f>
        <v>483.71451692274354</v>
      </c>
      <c r="I45" s="33">
        <f t="shared" si="7"/>
        <v>615.49059473529667</v>
      </c>
      <c r="J45" s="33">
        <f t="shared" si="7"/>
        <v>984.18112998107551</v>
      </c>
      <c r="K45" s="33">
        <f t="shared" si="7"/>
        <v>1307.6614485965572</v>
      </c>
      <c r="L45" s="33">
        <f t="shared" si="7"/>
        <v>1594.3832990301028</v>
      </c>
      <c r="M45" s="33">
        <f t="shared" si="7"/>
        <v>1878.2935797516398</v>
      </c>
      <c r="N45" s="33">
        <f t="shared" si="7"/>
        <v>2085.1143277402734</v>
      </c>
      <c r="O45" s="33">
        <f t="shared" si="7"/>
        <v>2226.5042045521786</v>
      </c>
      <c r="P45" s="33">
        <f t="shared" si="7"/>
        <v>2416.7420811301718</v>
      </c>
      <c r="Q45" s="33">
        <f t="shared" si="7"/>
        <v>2328.0132981915904</v>
      </c>
      <c r="R45" s="33">
        <f t="shared" si="7"/>
        <v>2097.4574749180611</v>
      </c>
      <c r="S45" s="33">
        <f t="shared" si="7"/>
        <v>1607.733720906502</v>
      </c>
      <c r="T45" s="33">
        <f t="shared" si="7"/>
        <v>908.06589865023807</v>
      </c>
      <c r="U45" s="33">
        <f t="shared" si="7"/>
        <v>393.79169404949278</v>
      </c>
      <c r="V45" s="33">
        <f t="shared" si="7"/>
        <v>166.81030658387698</v>
      </c>
      <c r="W45" s="33">
        <f t="shared" si="7"/>
        <v>77.964818693359618</v>
      </c>
    </row>
    <row r="46" spans="2:23" x14ac:dyDescent="0.35">
      <c r="B46" s="30" t="s">
        <v>248</v>
      </c>
      <c r="C46" s="33">
        <f t="shared" ref="C46:C47" si="8">C30+C33</f>
        <v>2.1145735689069816</v>
      </c>
      <c r="D46" s="33"/>
      <c r="E46" s="33"/>
      <c r="F46" s="33"/>
      <c r="G46" s="33"/>
      <c r="H46" s="33">
        <f t="shared" ref="H46:W47" si="9">H30+H33</f>
        <v>21.317250618017312</v>
      </c>
      <c r="I46" s="33" t="e">
        <f t="shared" si="9"/>
        <v>#DIV/0!</v>
      </c>
      <c r="J46" s="33">
        <f t="shared" si="9"/>
        <v>30.398764881610937</v>
      </c>
      <c r="K46" s="33">
        <f t="shared" si="9"/>
        <v>36.369982860672309</v>
      </c>
      <c r="L46" s="33">
        <f t="shared" si="9"/>
        <v>44.608594887577183</v>
      </c>
      <c r="M46" s="33">
        <f t="shared" si="9"/>
        <v>54.795614030257006</v>
      </c>
      <c r="N46" s="33">
        <f t="shared" si="9"/>
        <v>75.506539390401102</v>
      </c>
      <c r="O46" s="33">
        <f t="shared" si="9"/>
        <v>113.07911833667667</v>
      </c>
      <c r="P46" s="33">
        <f t="shared" si="9"/>
        <v>435.69749970416626</v>
      </c>
      <c r="Q46" s="33">
        <f t="shared" si="9"/>
        <v>2017.98637330358</v>
      </c>
      <c r="R46" s="33">
        <f t="shared" si="9"/>
        <v>3515.7619897772324</v>
      </c>
      <c r="S46" s="33">
        <f t="shared" si="9"/>
        <v>3656.1819599107662</v>
      </c>
      <c r="T46" s="33">
        <f t="shared" si="9"/>
        <v>2700.2990628398688</v>
      </c>
      <c r="U46" s="33">
        <f t="shared" si="9"/>
        <v>1458.0271351978472</v>
      </c>
      <c r="V46" s="33">
        <f t="shared" si="9"/>
        <v>636.4436564980972</v>
      </c>
      <c r="W46" s="33">
        <f t="shared" si="9"/>
        <v>266.29631403206963</v>
      </c>
    </row>
    <row r="47" spans="2:23" x14ac:dyDescent="0.35">
      <c r="B47" s="30" t="s">
        <v>249</v>
      </c>
      <c r="C47" s="33">
        <f t="shared" si="8"/>
        <v>0</v>
      </c>
      <c r="D47" s="33"/>
      <c r="E47" s="33"/>
      <c r="F47" s="33"/>
      <c r="G47" s="33"/>
      <c r="H47" s="33">
        <f t="shared" si="9"/>
        <v>0</v>
      </c>
      <c r="I47" s="33" t="e">
        <f t="shared" si="9"/>
        <v>#DIV/0!</v>
      </c>
      <c r="J47" s="33" t="e">
        <f t="shared" si="9"/>
        <v>#DIV/0!</v>
      </c>
      <c r="K47" s="33" t="e">
        <f t="shared" si="9"/>
        <v>#DIV/0!</v>
      </c>
      <c r="L47" s="33" t="e">
        <f t="shared" si="9"/>
        <v>#DIV/0!</v>
      </c>
      <c r="M47" s="33">
        <f t="shared" si="9"/>
        <v>1.9838541956457569</v>
      </c>
      <c r="N47" s="33">
        <f t="shared" si="9"/>
        <v>4.4157212923803257</v>
      </c>
      <c r="O47" s="33">
        <f t="shared" si="9"/>
        <v>10.022013145867003</v>
      </c>
      <c r="P47" s="33">
        <f t="shared" si="9"/>
        <v>54.915553739252793</v>
      </c>
      <c r="Q47" s="33">
        <f t="shared" si="9"/>
        <v>624.03379787760878</v>
      </c>
      <c r="R47" s="33">
        <f t="shared" si="9"/>
        <v>2349.1644158462991</v>
      </c>
      <c r="S47" s="33">
        <f t="shared" si="9"/>
        <v>4372.8107854654982</v>
      </c>
      <c r="T47" s="33">
        <f t="shared" si="9"/>
        <v>5479.6165102993955</v>
      </c>
      <c r="U47" s="33">
        <f t="shared" si="9"/>
        <v>4367.6625347841964</v>
      </c>
      <c r="V47" s="33">
        <f t="shared" si="9"/>
        <v>2539.720686537974</v>
      </c>
      <c r="W47" s="33">
        <f t="shared" si="9"/>
        <v>1118.5038559212139</v>
      </c>
    </row>
    <row r="48" spans="2:23" x14ac:dyDescent="0.35">
      <c r="B48" s="30" t="s">
        <v>250</v>
      </c>
      <c r="C48" s="33">
        <f t="shared" ref="C48:C49" si="10">C37</f>
        <v>0</v>
      </c>
      <c r="D48" s="33"/>
      <c r="E48" s="33"/>
      <c r="F48" s="33"/>
      <c r="G48" s="33"/>
      <c r="H48" s="33">
        <f t="shared" ref="H48:W49" si="11">H37</f>
        <v>2.3665609867488027E-2</v>
      </c>
      <c r="I48" s="33">
        <f t="shared" si="11"/>
        <v>6.0469465180677542E-2</v>
      </c>
      <c r="J48" s="33">
        <f t="shared" si="11"/>
        <v>0.12941570590942714</v>
      </c>
      <c r="K48" s="33">
        <f t="shared" si="11"/>
        <v>0.19632225400967646</v>
      </c>
      <c r="L48" s="33">
        <f t="shared" si="11"/>
        <v>0.34210649170568097</v>
      </c>
      <c r="M48" s="33">
        <f t="shared" si="11"/>
        <v>0.79992021931434976</v>
      </c>
      <c r="N48" s="33">
        <f t="shared" si="11"/>
        <v>1.4234681512400478</v>
      </c>
      <c r="O48" s="33">
        <f t="shared" si="11"/>
        <v>2.5408137047027983</v>
      </c>
      <c r="P48" s="33">
        <f t="shared" si="11"/>
        <v>12.132189060187294</v>
      </c>
      <c r="Q48" s="33">
        <f t="shared" si="11"/>
        <v>92.860000273622319</v>
      </c>
      <c r="R48" s="33">
        <f t="shared" si="11"/>
        <v>648.53651624316637</v>
      </c>
      <c r="S48" s="33">
        <f t="shared" si="11"/>
        <v>1659.9410127262474</v>
      </c>
      <c r="T48" s="33">
        <f t="shared" si="11"/>
        <v>2677.6812524551615</v>
      </c>
      <c r="U48" s="33">
        <f t="shared" si="11"/>
        <v>2882.7681575831289</v>
      </c>
      <c r="V48" s="33">
        <f t="shared" si="11"/>
        <v>2653.4303626176952</v>
      </c>
      <c r="W48" s="33">
        <f t="shared" si="11"/>
        <v>2434.0615194104353</v>
      </c>
    </row>
    <row r="49" spans="2:26" x14ac:dyDescent="0.35">
      <c r="B49" s="30" t="s">
        <v>251</v>
      </c>
      <c r="C49" s="33">
        <f t="shared" si="10"/>
        <v>0</v>
      </c>
      <c r="D49" s="33"/>
      <c r="E49" s="33"/>
      <c r="F49" s="33"/>
      <c r="G49" s="33"/>
      <c r="H49" s="33">
        <f t="shared" si="11"/>
        <v>0</v>
      </c>
      <c r="I49" s="33">
        <f t="shared" si="11"/>
        <v>0</v>
      </c>
      <c r="J49" s="33">
        <f t="shared" si="11"/>
        <v>0</v>
      </c>
      <c r="K49" s="33">
        <f t="shared" si="11"/>
        <v>0</v>
      </c>
      <c r="L49" s="33">
        <f t="shared" si="11"/>
        <v>0</v>
      </c>
      <c r="M49" s="33">
        <f t="shared" si="11"/>
        <v>0</v>
      </c>
      <c r="N49" s="33">
        <f t="shared" si="11"/>
        <v>0</v>
      </c>
      <c r="O49" s="33">
        <f t="shared" si="11"/>
        <v>0</v>
      </c>
      <c r="P49" s="33">
        <f t="shared" si="11"/>
        <v>0</v>
      </c>
      <c r="Q49" s="33">
        <f t="shared" si="11"/>
        <v>0</v>
      </c>
      <c r="R49" s="33">
        <f t="shared" si="11"/>
        <v>41.83377510559378</v>
      </c>
      <c r="S49" s="33">
        <f t="shared" si="11"/>
        <v>146.06717589367</v>
      </c>
      <c r="T49" s="33">
        <f t="shared" si="11"/>
        <v>326.69904723482063</v>
      </c>
      <c r="U49" s="33">
        <f t="shared" si="11"/>
        <v>539.01263825111687</v>
      </c>
      <c r="V49" s="33">
        <f t="shared" si="11"/>
        <v>823.48848514776205</v>
      </c>
      <c r="W49" s="33">
        <f t="shared" si="11"/>
        <v>1138.7010201125831</v>
      </c>
    </row>
    <row r="51" spans="2:26" x14ac:dyDescent="0.35">
      <c r="B51" t="s">
        <v>256</v>
      </c>
    </row>
    <row r="52" spans="2:26" x14ac:dyDescent="0.35">
      <c r="C52" s="30">
        <v>2005</v>
      </c>
      <c r="D52" s="30">
        <v>2006</v>
      </c>
      <c r="E52" s="30">
        <v>2007</v>
      </c>
      <c r="F52" s="30">
        <v>2008</v>
      </c>
      <c r="G52" s="30">
        <v>2009</v>
      </c>
      <c r="H52" s="30">
        <v>2010</v>
      </c>
      <c r="I52" s="30">
        <v>2011</v>
      </c>
      <c r="J52" s="30">
        <v>2012</v>
      </c>
      <c r="K52" s="30">
        <v>2013</v>
      </c>
      <c r="L52" s="30">
        <v>2014</v>
      </c>
      <c r="M52" s="30">
        <v>2015</v>
      </c>
      <c r="N52" s="30">
        <v>2016</v>
      </c>
      <c r="O52" s="30">
        <v>2017</v>
      </c>
      <c r="P52" s="30">
        <v>2020</v>
      </c>
      <c r="Q52" s="30">
        <v>2025</v>
      </c>
      <c r="R52" s="30">
        <v>2030</v>
      </c>
      <c r="S52" s="30">
        <v>2035</v>
      </c>
      <c r="T52" s="30">
        <v>2040</v>
      </c>
      <c r="U52" s="30">
        <v>2045</v>
      </c>
      <c r="V52" s="30">
        <v>2050</v>
      </c>
      <c r="W52" s="30">
        <v>2055</v>
      </c>
    </row>
    <row r="53" spans="2:26" x14ac:dyDescent="0.35">
      <c r="B53" s="31" t="s">
        <v>231</v>
      </c>
      <c r="C53" s="33">
        <f>C16*'Št. avtomobilov'!C2/'Št. avtomobilov'!C$12</f>
        <v>2.0734526822474137</v>
      </c>
      <c r="H53" s="33">
        <f>H16*'Št. avtomobilov'!H2/'Št. avtomobilov'!H$12</f>
        <v>1.6651410643808797</v>
      </c>
      <c r="I53" s="33">
        <f>I16*'Št. avtomobilov'!I2/'Št. avtomobilov'!I$12</f>
        <v>1.6123568903039078</v>
      </c>
      <c r="J53" s="33">
        <f>J16*'Št. avtomobilov'!J2/'Št. avtomobilov'!J$12</f>
        <v>1.5512693045756591</v>
      </c>
      <c r="K53" s="33">
        <f>K16*'Št. avtomobilov'!K2/'Št. avtomobilov'!K$12</f>
        <v>1.491235925878412</v>
      </c>
      <c r="L53" s="33">
        <f>L16*'Št. avtomobilov'!L2/'Št. avtomobilov'!L$12</f>
        <v>1.4330326500634918</v>
      </c>
      <c r="M53" s="33">
        <f>M16*'Št. avtomobilov'!M2/'Št. avtomobilov'!M$12</f>
        <v>1.3770344425548111</v>
      </c>
      <c r="N53" s="33">
        <f>N16*'Št. avtomobilov'!N2/'Št. avtomobilov'!N$12</f>
        <v>1.3220459771480773</v>
      </c>
      <c r="O53" s="33">
        <f>O16*'Št. avtomobilov'!O2/'Št. avtomobilov'!O$12</f>
        <v>1.2692680550494706</v>
      </c>
      <c r="P53" s="33">
        <f>P16*'Št. avtomobilov'!P2/'Št. avtomobilov'!P$12</f>
        <v>1.1123696092776436</v>
      </c>
      <c r="Q53" s="33">
        <f>Q16*'Št. avtomobilov'!Q2/'Št. avtomobilov'!Q$12</f>
        <v>0.92238323235057962</v>
      </c>
      <c r="R53" s="33">
        <f>R16*'Št. avtomobilov'!R2/'Št. avtomobilov'!R$12</f>
        <v>0.70677380129385459</v>
      </c>
      <c r="S53" s="33">
        <f>S16*'Št. avtomobilov'!S2/'Št. avtomobilov'!S$12</f>
        <v>0.46051870542066281</v>
      </c>
      <c r="T53" s="33">
        <f>T16*'Št. avtomobilov'!T2/'Št. avtomobilov'!T$12</f>
        <v>0.21808845469418933</v>
      </c>
      <c r="U53" s="33">
        <f>U16*'Št. avtomobilov'!U2/'Št. avtomobilov'!U$12</f>
        <v>6.2276535083783731E-2</v>
      </c>
      <c r="V53" s="33">
        <f>V16*'Št. avtomobilov'!V2/'Št. avtomobilov'!V$12</f>
        <v>2.0889899163907318E-2</v>
      </c>
      <c r="W53" s="33">
        <f>W16*'Št. avtomobilov'!W2/'Št. avtomobilov'!W$12</f>
        <v>8.104523251743042E-3</v>
      </c>
    </row>
    <row r="54" spans="2:26" x14ac:dyDescent="0.35">
      <c r="B54" s="33" t="s">
        <v>232</v>
      </c>
      <c r="C54" s="33">
        <f>C17*'Št. avtomobilov'!C3/'Št. avtomobilov'!C$12</f>
        <v>1.5181218108446711E-4</v>
      </c>
      <c r="H54" s="33">
        <f>H17*'Št. avtomobilov'!H3/'Št. avtomobilov'!H$12</f>
        <v>9.2572308389722796E-4</v>
      </c>
      <c r="I54" s="33">
        <f>I17*'Št. avtomobilov'!I3/'Št. avtomobilov'!I$12</f>
        <v>1.0470174482720349E-3</v>
      </c>
      <c r="J54" s="33">
        <f>J17*'Št. avtomobilov'!J3/'Št. avtomobilov'!J$12</f>
        <v>1.1905657395238863E-3</v>
      </c>
      <c r="K54" s="33">
        <f>K17*'Št. avtomobilov'!K3/'Št. avtomobilov'!K$12</f>
        <v>1.4037556979845218E-3</v>
      </c>
      <c r="L54" s="33">
        <f>L17*'Št. avtomobilov'!L3/'Št. avtomobilov'!L$12</f>
        <v>1.7680383794787399E-3</v>
      </c>
      <c r="M54" s="33">
        <f>M17*'Št. avtomobilov'!M3/'Št. avtomobilov'!M$12</f>
        <v>2.0598653554221298E-3</v>
      </c>
      <c r="N54" s="33">
        <f>N17*'Št. avtomobilov'!N3/'Št. avtomobilov'!N$12</f>
        <v>2.7026292057230378E-3</v>
      </c>
      <c r="O54" s="33">
        <f>O17*'Št. avtomobilov'!O3/'Št. avtomobilov'!O$12</f>
        <v>4.0515540718542714E-3</v>
      </c>
      <c r="P54" s="33">
        <f>P17*'Št. avtomobilov'!P3/'Št. avtomobilov'!P$12</f>
        <v>1.5369620072391479E-2</v>
      </c>
      <c r="Q54" s="33">
        <f>Q17*'Št. avtomobilov'!Q3/'Št. avtomobilov'!Q$12</f>
        <v>6.403617292719907E-2</v>
      </c>
      <c r="R54" s="33">
        <f>R17*'Št. avtomobilov'!R3/'Št. avtomobilov'!R$12</f>
        <v>0.10933855587759123</v>
      </c>
      <c r="S54" s="33">
        <f>S17*'Št. avtomobilov'!S3/'Št. avtomobilov'!S$12</f>
        <v>0.11974995546308306</v>
      </c>
      <c r="T54" s="33">
        <f>T17*'Št. avtomobilov'!T3/'Št. avtomobilov'!T$12</f>
        <v>9.4588356868126916E-2</v>
      </c>
      <c r="U54" s="33">
        <f>U17*'Št. avtomobilov'!U3/'Št. avtomobilov'!U$12</f>
        <v>5.4793797922748001E-2</v>
      </c>
      <c r="V54" s="33">
        <f>V17*'Št. avtomobilov'!V3/'Št. avtomobilov'!V$12</f>
        <v>2.5853382836767653E-2</v>
      </c>
      <c r="W54" s="33">
        <f>W17*'Št. avtomobilov'!W3/'Št. avtomobilov'!W$12</f>
        <v>1.1948137068308384E-2</v>
      </c>
    </row>
    <row r="55" spans="2:26" x14ac:dyDescent="0.35">
      <c r="B55" s="33" t="s">
        <v>233</v>
      </c>
      <c r="C55" s="33">
        <f>C18*'Št. avtomobilov'!C4/'Št. avtomobilov'!C$12</f>
        <v>0</v>
      </c>
      <c r="H55" s="33">
        <f>H18*'Št. avtomobilov'!H4/'Št. avtomobilov'!H$12</f>
        <v>0</v>
      </c>
      <c r="I55" s="33" t="e">
        <f>I18*'Št. avtomobilov'!I4/'Št. avtomobilov'!I$12</f>
        <v>#DIV/0!</v>
      </c>
      <c r="J55" s="33">
        <f>J18*'Št. avtomobilov'!J4/'Št. avtomobilov'!J$12</f>
        <v>1.6612396766918904E-5</v>
      </c>
      <c r="K55" s="33">
        <f>K18*'Št. avtomobilov'!K4/'Št. avtomobilov'!K$12</f>
        <v>3.6374952932654526E-5</v>
      </c>
      <c r="L55" s="33">
        <f>L18*'Št. avtomobilov'!L4/'Št. avtomobilov'!L$12</f>
        <v>4.9078389941003586E-5</v>
      </c>
      <c r="M55" s="33">
        <f>M18*'Št. avtomobilov'!M4/'Št. avtomobilov'!M$12</f>
        <v>1.0292487910942247E-4</v>
      </c>
      <c r="N55" s="33">
        <f>N18*'Št. avtomobilov'!N4/'Št. avtomobilov'!N$12</f>
        <v>1.9990421550286305E-4</v>
      </c>
      <c r="O55" s="33">
        <f>O18*'Št. avtomobilov'!O4/'Št. avtomobilov'!O$12</f>
        <v>4.5834021849709786E-4</v>
      </c>
      <c r="P55" s="33">
        <f>P18*'Št. avtomobilov'!P4/'Št. avtomobilov'!P$12</f>
        <v>2.1549851953933442E-3</v>
      </c>
      <c r="Q55" s="33">
        <f>Q18*'Št. avtomobilov'!Q4/'Št. avtomobilov'!Q$12</f>
        <v>2.2112117898390432E-2</v>
      </c>
      <c r="R55" s="33">
        <f>R18*'Št. avtomobilov'!R4/'Št. avtomobilov'!R$12</f>
        <v>8.0657872661798649E-2</v>
      </c>
      <c r="S55" s="33">
        <f>S18*'Št. avtomobilov'!S4/'Št. avtomobilov'!S$12</f>
        <v>0.14818426338303325</v>
      </c>
      <c r="T55" s="33">
        <f>T18*'Št. avtomobilov'!T4/'Št. avtomobilov'!T$12</f>
        <v>0.19104921697988345</v>
      </c>
      <c r="U55" s="33">
        <f>U18*'Št. avtomobilov'!U4/'Št. avtomobilov'!U$12</f>
        <v>0.16268353522281001</v>
      </c>
      <c r="V55" s="33">
        <f>V18*'Št. avtomobilov'!V4/'Št. avtomobilov'!V$12</f>
        <v>0.10481568413593018</v>
      </c>
      <c r="W55" s="33">
        <f>W18*'Št. avtomobilov'!W4/'Št. avtomobilov'!W$12</f>
        <v>5.0170201833438482E-2</v>
      </c>
    </row>
    <row r="56" spans="2:26" x14ac:dyDescent="0.35">
      <c r="B56" s="31" t="s">
        <v>234</v>
      </c>
      <c r="C56" s="33">
        <f>C19*'Št. avtomobilov'!C5/'Št. avtomobilov'!C$12</f>
        <v>0.50632662080960456</v>
      </c>
      <c r="H56" s="33">
        <f>H19*'Št. avtomobilov'!H5/'Št. avtomobilov'!H$12</f>
        <v>0.84498993089070029</v>
      </c>
      <c r="I56" s="33">
        <f>I19*'Št. avtomobilov'!I5/'Št. avtomobilov'!I$12</f>
        <v>0.88385275968529919</v>
      </c>
      <c r="J56" s="33">
        <f>J19*'Št. avtomobilov'!J5/'Št. avtomobilov'!J$12</f>
        <v>0.9274135452432658</v>
      </c>
      <c r="K56" s="33">
        <f>K19*'Št. avtomobilov'!K5/'Št. avtomobilov'!K$12</f>
        <v>0.96920070583516049</v>
      </c>
      <c r="L56" s="33">
        <f>L19*'Št. avtomobilov'!L5/'Št. avtomobilov'!L$12</f>
        <v>1.008410198682373</v>
      </c>
      <c r="M56" s="33">
        <f>M19*'Št. avtomobilov'!M5/'Št. avtomobilov'!M$12</f>
        <v>1.0446399520286622</v>
      </c>
      <c r="N56" s="33">
        <f>N19*'Št. avtomobilov'!N5/'Št. avtomobilov'!N$12</f>
        <v>1.0791232077202457</v>
      </c>
      <c r="O56" s="33">
        <f>O19*'Št. avtomobilov'!O5/'Št. avtomobilov'!O$12</f>
        <v>1.109792621406809</v>
      </c>
      <c r="P56" s="33">
        <f>P19*'Št. avtomobilov'!P5/'Št. avtomobilov'!P$12</f>
        <v>1.1797581108734865</v>
      </c>
      <c r="Q56" s="33">
        <f>Q19*'Št. avtomobilov'!Q5/'Št. avtomobilov'!Q$12</f>
        <v>1.1348230364333347</v>
      </c>
      <c r="R56" s="33">
        <f>R19*'Št. avtomobilov'!R5/'Št. avtomobilov'!R$12</f>
        <v>0.915940742553642</v>
      </c>
      <c r="S56" s="33">
        <f>S19*'Št. avtomobilov'!S5/'Št. avtomobilov'!S$12</f>
        <v>0.60764039861335739</v>
      </c>
      <c r="T56" s="33">
        <f>T19*'Št. avtomobilov'!T5/'Št. avtomobilov'!T$12</f>
        <v>0.18890300554352263</v>
      </c>
      <c r="U56" s="33">
        <f>U19*'Št. avtomobilov'!U5/'Št. avtomobilov'!U$12</f>
        <v>6.1585281528370853E-2</v>
      </c>
      <c r="V56" s="33">
        <f>V19*'Št. avtomobilov'!V5/'Št. avtomobilov'!V$12</f>
        <v>2.5210798875255919E-2</v>
      </c>
      <c r="W56" s="33">
        <f>W19*'Št. avtomobilov'!W5/'Št. avtomobilov'!W$12</f>
        <v>1.0698629330294307E-2</v>
      </c>
    </row>
    <row r="57" spans="2:26" x14ac:dyDescent="0.35">
      <c r="B57" s="33" t="s">
        <v>235</v>
      </c>
      <c r="C57" s="33">
        <f>C20*'Št. avtomobilov'!C6/'Št. avtomobilov'!C$12</f>
        <v>0</v>
      </c>
      <c r="H57" s="33">
        <f>H20*'Št. avtomobilov'!H6/'Št. avtomobilov'!H$12</f>
        <v>0</v>
      </c>
      <c r="I57" s="33" t="e">
        <f>I20*'Št. avtomobilov'!I6/'Št. avtomobilov'!I$12</f>
        <v>#DIV/0!</v>
      </c>
      <c r="J57" s="33">
        <f>J20*'Št. avtomobilov'!J6/'Št. avtomobilov'!J$12</f>
        <v>5.1327752549962462E-5</v>
      </c>
      <c r="K57" s="33">
        <f>K20*'Št. avtomobilov'!K6/'Št. avtomobilov'!K$12</f>
        <v>7.2371468981621552E-5</v>
      </c>
      <c r="L57" s="33">
        <f>L20*'Št. avtomobilov'!L6/'Št. avtomobilov'!L$12</f>
        <v>9.4774232828446218E-5</v>
      </c>
      <c r="M57" s="33">
        <f>M20*'Št. avtomobilov'!M6/'Št. avtomobilov'!M$12</f>
        <v>1.3664477781247223E-4</v>
      </c>
      <c r="N57" s="33">
        <f>N20*'Št. avtomobilov'!N6/'Št. avtomobilov'!N$12</f>
        <v>2.812965106419468E-4</v>
      </c>
      <c r="O57" s="33">
        <f>O20*'Št. avtomobilov'!O6/'Št. avtomobilov'!O$12</f>
        <v>4.2360696028958497E-4</v>
      </c>
      <c r="P57" s="33">
        <f>P20*'Št. avtomobilov'!P6/'Št. avtomobilov'!P$12</f>
        <v>1.2451081103424402E-3</v>
      </c>
      <c r="Q57" s="33">
        <f>Q20*'Št. avtomobilov'!Q6/'Št. avtomobilov'!Q$12</f>
        <v>7.9932960902094289E-3</v>
      </c>
      <c r="R57" s="33">
        <f>R20*'Št. avtomobilov'!R6/'Št. avtomobilov'!R$12</f>
        <v>1.6493289551307768E-2</v>
      </c>
      <c r="S57" s="33">
        <f>S20*'Št. avtomobilov'!S6/'Št. avtomobilov'!S$12</f>
        <v>2.0941070366322187E-2</v>
      </c>
      <c r="T57" s="33">
        <f>T20*'Št. avtomobilov'!T6/'Št. avtomobilov'!T$12</f>
        <v>1.9655292538425E-2</v>
      </c>
      <c r="U57" s="33">
        <f>U20*'Št. avtomobilov'!U6/'Št. avtomobilov'!U$12</f>
        <v>1.4195455608597916E-2</v>
      </c>
      <c r="V57" s="33">
        <f>V20*'Št. avtomobilov'!V6/'Št. avtomobilov'!V$12</f>
        <v>8.5900967698265603E-3</v>
      </c>
      <c r="W57" s="33">
        <f>W20*'Št. avtomobilov'!W6/'Št. avtomobilov'!W$12</f>
        <v>4.8316499097610568E-3</v>
      </c>
    </row>
    <row r="58" spans="2:26" x14ac:dyDescent="0.35">
      <c r="B58" s="33" t="s">
        <v>236</v>
      </c>
      <c r="C58" s="33">
        <f>C21*'Št. avtomobilov'!C7/'Št. avtomobilov'!C$12</f>
        <v>0</v>
      </c>
      <c r="H58" s="33">
        <f>H21*'Št. avtomobilov'!H7/'Št. avtomobilov'!H$12</f>
        <v>0</v>
      </c>
      <c r="I58" s="33" t="e">
        <f>I21*'Št. avtomobilov'!I7/'Št. avtomobilov'!I$12</f>
        <v>#DIV/0!</v>
      </c>
      <c r="J58" s="33" t="e">
        <f>J21*'Št. avtomobilov'!J7/'Št. avtomobilov'!J$12</f>
        <v>#DIV/0!</v>
      </c>
      <c r="K58" s="33" t="e">
        <f>K21*'Št. avtomobilov'!K7/'Št. avtomobilov'!K$12</f>
        <v>#DIV/0!</v>
      </c>
      <c r="L58" s="33" t="e">
        <f>L21*'Št. avtomobilov'!L7/'Št. avtomobilov'!L$12</f>
        <v>#DIV/0!</v>
      </c>
      <c r="M58" s="33">
        <f>M21*'Št. avtomobilov'!M7/'Št. avtomobilov'!M$12</f>
        <v>3.9289608889670927E-6</v>
      </c>
      <c r="N58" s="33">
        <f>N21*'Št. avtomobilov'!N7/'Št. avtomobilov'!N$12</f>
        <v>1.3274874606142582E-5</v>
      </c>
      <c r="O58" s="33">
        <f>O21*'Št. avtomobilov'!O7/'Št. avtomobilov'!O$12</f>
        <v>2.5465230033734107E-5</v>
      </c>
      <c r="P58" s="33">
        <f>P21*'Št. avtomobilov'!P7/'Št. avtomobilov'!P$12</f>
        <v>1.2425181015382789E-4</v>
      </c>
      <c r="Q58" s="33">
        <f>Q21*'Št. avtomobilov'!Q7/'Št. avtomobilov'!Q$12</f>
        <v>2.6636238381961973E-3</v>
      </c>
      <c r="R58" s="33">
        <f>R21*'Št. avtomobilov'!R7/'Št. avtomobilov'!R$12</f>
        <v>1.2161780225723678E-2</v>
      </c>
      <c r="S58" s="33">
        <f>S21*'Št. avtomobilov'!S7/'Št. avtomobilov'!S$12</f>
        <v>2.5511851906683668E-2</v>
      </c>
      <c r="T58" s="33">
        <f>T21*'Št. avtomobilov'!T7/'Št. avtomobilov'!T$12</f>
        <v>3.6393534749305595E-2</v>
      </c>
      <c r="U58" s="33">
        <f>U21*'Št. avtomobilov'!U7/'Št. avtomobilov'!U$12</f>
        <v>3.4388208595123024E-2</v>
      </c>
      <c r="V58" s="33">
        <f>V21*'Št. avtomobilov'!V7/'Št. avtomobilov'!V$12</f>
        <v>2.5887817066563679E-2</v>
      </c>
      <c r="W58" s="33">
        <f>W21*'Št. avtomobilov'!W7/'Št. avtomobilov'!W$12</f>
        <v>1.5606966090499842E-2</v>
      </c>
    </row>
    <row r="59" spans="2:26" x14ac:dyDescent="0.35">
      <c r="B59" s="31" t="s">
        <v>237</v>
      </c>
      <c r="C59" s="33">
        <f>C22*'Št. avtomobilov'!C8/'Št. avtomobilov'!C$12</f>
        <v>9.6603522075458363E-4</v>
      </c>
      <c r="H59" s="33">
        <f>H22*'Št. avtomobilov'!H8/'Št. avtomobilov'!H$12</f>
        <v>6.7471954132580563E-3</v>
      </c>
      <c r="I59" s="33">
        <f>I22*'Št. avtomobilov'!I8/'Št. avtomobilov'!I$12</f>
        <v>8.4423710922985878E-3</v>
      </c>
      <c r="J59" s="33">
        <f>J22*'Št. avtomobilov'!J8/'Št. avtomobilov'!J$12</f>
        <v>1.3436160192403434E-2</v>
      </c>
      <c r="K59" s="33">
        <f>K22*'Št. avtomobilov'!K8/'Št. avtomobilov'!K$12</f>
        <v>1.7811526753533227E-2</v>
      </c>
      <c r="L59" s="33">
        <f>L22*'Št. avtomobilov'!L8/'Št. avtomobilov'!L$12</f>
        <v>2.1664043709515499E-2</v>
      </c>
      <c r="M59" s="33">
        <f>M22*'Št. avtomobilov'!M8/'Št. avtomobilov'!M$12</f>
        <v>2.503659863554997E-2</v>
      </c>
      <c r="N59" s="33">
        <f>N22*'Št. avtomobilov'!N8/'Št. avtomobilov'!N$12</f>
        <v>2.722352224340668E-2</v>
      </c>
      <c r="O59" s="33">
        <f>O22*'Št. avtomobilov'!O8/'Št. avtomobilov'!O$12</f>
        <v>2.8388054277649018E-2</v>
      </c>
      <c r="P59" s="33">
        <f>P22*'Št. avtomobilov'!P8/'Št. avtomobilov'!P$12</f>
        <v>2.8503866553404068E-2</v>
      </c>
      <c r="Q59" s="33">
        <f>Q22*'Št. avtomobilov'!Q8/'Št. avtomobilov'!Q$12</f>
        <v>2.6880395984897804E-2</v>
      </c>
      <c r="R59" s="33">
        <f>R22*'Št. avtomobilov'!R8/'Št. avtomobilov'!R$12</f>
        <v>2.5315793266266186E-2</v>
      </c>
      <c r="S59" s="33">
        <f>S22*'Št. avtomobilov'!S8/'Št. avtomobilov'!S$12</f>
        <v>2.0713731585965976E-2</v>
      </c>
      <c r="T59" s="33">
        <f>T22*'Št. avtomobilov'!T8/'Št. avtomobilov'!T$12</f>
        <v>1.2819173730095801E-2</v>
      </c>
      <c r="U59" s="33">
        <f>U22*'Št. avtomobilov'!U8/'Št. avtomobilov'!U$12</f>
        <v>6.5270091128769026E-3</v>
      </c>
      <c r="V59" s="33">
        <f>V22*'Št. avtomobilov'!V8/'Št. avtomobilov'!V$12</f>
        <v>3.5568951852384067E-3</v>
      </c>
      <c r="W59" s="33">
        <f>W22*'Št. avtomobilov'!W8/'Št. avtomobilov'!W$12</f>
        <v>2.2834655993542665E-3</v>
      </c>
    </row>
    <row r="60" spans="2:26" x14ac:dyDescent="0.35">
      <c r="B60" s="31" t="s">
        <v>238</v>
      </c>
      <c r="C60" s="33">
        <f>C23*'Št. avtomobilov'!C9/'Št. avtomobilov'!C$12</f>
        <v>0</v>
      </c>
      <c r="H60" s="33">
        <f>H23*'Št. avtomobilov'!H9/'Št. avtomobilov'!H$12</f>
        <v>3.184010497162027E-5</v>
      </c>
      <c r="I60" s="33">
        <f>I23*'Št. avtomobilov'!I9/'Št. avtomobilov'!I$12</f>
        <v>3.6102950107330811E-5</v>
      </c>
      <c r="J60" s="33">
        <f>J23*'Št. avtomobilov'!J9/'Št. avtomobilov'!J$12</f>
        <v>5.8337898158800684E-5</v>
      </c>
      <c r="K60" s="33">
        <f>K23*'Št. avtomobilov'!K9/'Št. avtomobilov'!K$12</f>
        <v>9.8260183435934409E-5</v>
      </c>
      <c r="L60" s="33">
        <f>L23*'Št. avtomobilov'!L9/'Št. avtomobilov'!L$12</f>
        <v>2.3200828088287931E-4</v>
      </c>
      <c r="M60" s="33">
        <f>M23*'Št. avtomobilov'!M9/'Št. avtomobilov'!M$12</f>
        <v>3.2147502727107108E-4</v>
      </c>
      <c r="N60" s="33">
        <f>N23*'Št. avtomobilov'!N9/'Št. avtomobilov'!N$12</f>
        <v>3.4140686692773928E-4</v>
      </c>
      <c r="O60" s="33">
        <f>O23*'Št. avtomobilov'!O9/'Št. avtomobilov'!O$12</f>
        <v>4.4717854969787609E-4</v>
      </c>
      <c r="P60" s="33">
        <f>P23*'Št. avtomobilov'!P9/'Št. avtomobilov'!P$12</f>
        <v>8.9678920255357737E-4</v>
      </c>
      <c r="Q60" s="33">
        <f>Q23*'Št. avtomobilov'!Q9/'Št. avtomobilov'!Q$12</f>
        <v>1.466620615033857E-3</v>
      </c>
      <c r="R60" s="33">
        <f>R23*'Št. avtomobilov'!R9/'Št. avtomobilov'!R$12</f>
        <v>1.7422452318015158E-3</v>
      </c>
      <c r="S60" s="33">
        <f>S23*'Št. avtomobilov'!S9/'Št. avtomobilov'!S$12</f>
        <v>1.8118029164832566E-3</v>
      </c>
      <c r="T60" s="33">
        <f>T23*'Št. avtomobilov'!T9/'Št. avtomobilov'!T$12</f>
        <v>1.5193303014051443E-3</v>
      </c>
      <c r="U60" s="33">
        <f>U23*'Št. avtomobilov'!U9/'Št. avtomobilov'!U$12</f>
        <v>1.0257309692104351E-3</v>
      </c>
      <c r="V60" s="33">
        <f>V23*'Št. avtomobilov'!V9/'Št. avtomobilov'!V$12</f>
        <v>6.1414958972825259E-4</v>
      </c>
      <c r="W60" s="33">
        <f>W23*'Št. avtomobilov'!W9/'Št. avtomobilov'!W$12</f>
        <v>3.0737517374894441E-4</v>
      </c>
    </row>
    <row r="61" spans="2:26" x14ac:dyDescent="0.35">
      <c r="B61" s="33" t="s">
        <v>239</v>
      </c>
      <c r="C61" s="33">
        <f>C24*'Št. avtomobilov'!C10/'Št. avtomobilov'!C$12</f>
        <v>0</v>
      </c>
      <c r="H61" s="33">
        <f>H24*'Št. avtomobilov'!H10/'Št. avtomobilov'!H$12</f>
        <v>3.2034334489293657E-6</v>
      </c>
      <c r="I61" s="33">
        <f>I24*'Št. avtomobilov'!I10/'Št. avtomobilov'!I$12</f>
        <v>1.0442915294581019E-5</v>
      </c>
      <c r="J61" s="33">
        <f>J24*'Št. avtomobilov'!J10/'Št. avtomobilov'!J$12</f>
        <v>1.805962100735808E-5</v>
      </c>
      <c r="K61" s="33">
        <f>K24*'Št. avtomobilov'!K10/'Št. avtomobilov'!K$12</f>
        <v>2.3366811143385993E-5</v>
      </c>
      <c r="L61" s="33">
        <f>L24*'Št. avtomobilov'!L10/'Št. avtomobilov'!L$12</f>
        <v>4.4906248115281833E-5</v>
      </c>
      <c r="M61" s="33">
        <f>M24*'Št. avtomobilov'!M10/'Št. avtomobilov'!M$12</f>
        <v>1.0664648932479967E-4</v>
      </c>
      <c r="N61" s="33">
        <f>N24*'Št. avtomobilov'!N10/'Št. avtomobilov'!N$12</f>
        <v>1.7835852355958348E-4</v>
      </c>
      <c r="O61" s="33">
        <f>O24*'Št. avtomobilov'!O10/'Št. avtomobilov'!O$12</f>
        <v>3.1306851387094206E-4</v>
      </c>
      <c r="P61" s="33">
        <f>P24*'Št. avtomobilov'!P10/'Št. avtomobilov'!P$12</f>
        <v>1.2721130035482106E-3</v>
      </c>
      <c r="Q61" s="33">
        <f>Q24*'Št. avtomobilov'!Q10/'Št. avtomobilov'!Q$12</f>
        <v>8.7589077605701535E-3</v>
      </c>
      <c r="R61" s="33">
        <f>R24*'Št. avtomobilov'!R10/'Št. avtomobilov'!R$12</f>
        <v>5.9196548803632884E-2</v>
      </c>
      <c r="S61" s="33">
        <f>S24*'Št. avtomobilov'!S10/'Št. avtomobilov'!S$12</f>
        <v>0.15271512849409952</v>
      </c>
      <c r="T61" s="33">
        <f>T24*'Št. avtomobilov'!T10/'Št. avtomobilov'!T$12</f>
        <v>0.27348824630916113</v>
      </c>
      <c r="U61" s="33">
        <f>U24*'Št. avtomobilov'!U10/'Št. avtomobilov'!U$12</f>
        <v>0.33000700061988814</v>
      </c>
      <c r="V61" s="33">
        <f>V24*'Št. avtomobilov'!V10/'Št. avtomobilov'!V$12</f>
        <v>0.34512123418240431</v>
      </c>
      <c r="W61" s="33">
        <f>W24*'Št. avtomobilov'!W10/'Št. avtomobilov'!W$12</f>
        <v>0.34669200763103231</v>
      </c>
    </row>
    <row r="62" spans="2:26" x14ac:dyDescent="0.35">
      <c r="B62" s="33" t="s">
        <v>240</v>
      </c>
      <c r="C62" s="33">
        <f>C25*'Št. avtomobilov'!C11/'Št. avtomobilov'!C$12</f>
        <v>0</v>
      </c>
      <c r="H62" s="33">
        <f>H25*'Št. avtomobilov'!H11/'Št. avtomobilov'!H$12</f>
        <v>0</v>
      </c>
      <c r="I62" s="33">
        <f>I25*'Št. avtomobilov'!I11/'Št. avtomobilov'!I$12</f>
        <v>0</v>
      </c>
      <c r="J62" s="33">
        <f>J25*'Št. avtomobilov'!J11/'Št. avtomobilov'!J$12</f>
        <v>0</v>
      </c>
      <c r="K62" s="33">
        <f>K25*'Št. avtomobilov'!K11/'Št. avtomobilov'!K$12</f>
        <v>0</v>
      </c>
      <c r="L62" s="33">
        <f>L25*'Št. avtomobilov'!L11/'Št. avtomobilov'!L$12</f>
        <v>0</v>
      </c>
      <c r="M62" s="33">
        <f>M25*'Št. avtomobilov'!M11/'Št. avtomobilov'!M$12</f>
        <v>0</v>
      </c>
      <c r="N62" s="33">
        <f>N25*'Št. avtomobilov'!N11/'Št. avtomobilov'!N$12</f>
        <v>0</v>
      </c>
      <c r="O62" s="33">
        <f>O25*'Št. avtomobilov'!O11/'Št. avtomobilov'!O$12</f>
        <v>0</v>
      </c>
      <c r="P62" s="33">
        <f>P25*'Št. avtomobilov'!P11/'Št. avtomobilov'!P$12</f>
        <v>0</v>
      </c>
      <c r="Q62" s="33">
        <f>Q25*'Št. avtomobilov'!Q11/'Št. avtomobilov'!Q$12</f>
        <v>0</v>
      </c>
      <c r="R62" s="33">
        <f>R25*'Št. avtomobilov'!R11/'Št. avtomobilov'!R$12</f>
        <v>2.2110516411713147E-3</v>
      </c>
      <c r="S62" s="33">
        <f>S25*'Št. avtomobilov'!S11/'Št. avtomobilov'!S$12</f>
        <v>7.8928506282224826E-3</v>
      </c>
      <c r="T62" s="33">
        <f>T25*'Št. avtomobilov'!T11/'Št. avtomobilov'!T$12</f>
        <v>1.8659272011602519E-2</v>
      </c>
      <c r="U62" s="33">
        <f>U25*'Št. avtomobilov'!U11/'Št. avtomobilov'!U$12</f>
        <v>3.3808307872207566E-2</v>
      </c>
      <c r="V62" s="33">
        <f>V25*'Št. avtomobilov'!V11/'Št. avtomobilov'!V$12</f>
        <v>5.7168421508817312E-2</v>
      </c>
      <c r="W62" s="33">
        <f>W25*'Št. avtomobilov'!W11/'Št. avtomobilov'!W$12</f>
        <v>8.5859459814000866E-2</v>
      </c>
    </row>
    <row r="63" spans="2:26" x14ac:dyDescent="0.35">
      <c r="C63" s="33">
        <f>SUM(C53:C62)</f>
        <v>2.5808971504588576</v>
      </c>
      <c r="H63" s="33">
        <f t="shared" ref="H63:W63" si="12">SUM(H53:H62)</f>
        <v>2.5178389573071556</v>
      </c>
      <c r="I63" s="33" t="e">
        <f t="shared" si="12"/>
        <v>#DIV/0!</v>
      </c>
      <c r="J63" s="33" t="e">
        <f t="shared" si="12"/>
        <v>#DIV/0!</v>
      </c>
      <c r="K63" s="33" t="e">
        <f t="shared" si="12"/>
        <v>#DIV/0!</v>
      </c>
      <c r="L63" s="33" t="e">
        <f t="shared" si="12"/>
        <v>#DIV/0!</v>
      </c>
      <c r="M63" s="33">
        <f t="shared" si="12"/>
        <v>2.449442478708852</v>
      </c>
      <c r="N63" s="33">
        <f t="shared" si="12"/>
        <v>2.4321095773086912</v>
      </c>
      <c r="O63" s="33">
        <f t="shared" si="12"/>
        <v>2.4131679442781722</v>
      </c>
      <c r="P63" s="33">
        <f t="shared" si="12"/>
        <v>2.3416944540989162</v>
      </c>
      <c r="Q63" s="33">
        <f t="shared" si="12"/>
        <v>2.1911174038984118</v>
      </c>
      <c r="R63" s="33">
        <f t="shared" si="12"/>
        <v>1.9298316811067897</v>
      </c>
      <c r="S63" s="33">
        <f t="shared" si="12"/>
        <v>1.5656797587779137</v>
      </c>
      <c r="T63" s="33">
        <f t="shared" si="12"/>
        <v>1.0551638837257178</v>
      </c>
      <c r="U63" s="33">
        <f t="shared" si="12"/>
        <v>0.76129086253561651</v>
      </c>
      <c r="V63" s="33">
        <f t="shared" si="12"/>
        <v>0.61770837931443956</v>
      </c>
      <c r="W63" s="33">
        <f t="shared" si="12"/>
        <v>0.53650241570218149</v>
      </c>
      <c r="Z63">
        <f>HLOOKUP(OsebnaVozila!C5,'Poraba energije'!P52:W63,12,0)/3.6</f>
        <v>0.29310107881269937</v>
      </c>
    </row>
    <row r="66" spans="2:30" x14ac:dyDescent="0.35">
      <c r="C66" s="30">
        <v>2005</v>
      </c>
      <c r="D66" s="30">
        <v>2006</v>
      </c>
      <c r="E66" s="30">
        <v>2007</v>
      </c>
      <c r="F66" s="30">
        <v>2008</v>
      </c>
      <c r="G66" s="30">
        <v>2009</v>
      </c>
      <c r="H66" s="30">
        <v>2010</v>
      </c>
      <c r="I66" s="30">
        <v>2011</v>
      </c>
      <c r="J66" s="30">
        <v>2012</v>
      </c>
      <c r="K66" s="30">
        <v>2013</v>
      </c>
      <c r="L66" s="30">
        <v>2014</v>
      </c>
      <c r="M66" s="30">
        <v>2015</v>
      </c>
      <c r="N66" s="30">
        <v>2016</v>
      </c>
      <c r="O66" s="30">
        <v>2017</v>
      </c>
      <c r="P66" s="30">
        <v>2020</v>
      </c>
      <c r="Q66" s="30">
        <v>2025</v>
      </c>
      <c r="R66" s="30">
        <v>2030</v>
      </c>
      <c r="S66" s="30">
        <v>2035</v>
      </c>
      <c r="T66" s="30">
        <v>2040</v>
      </c>
      <c r="U66" s="30">
        <v>2045</v>
      </c>
      <c r="V66" s="30">
        <v>2050</v>
      </c>
      <c r="W66" s="30">
        <v>2055</v>
      </c>
      <c r="Z66">
        <f>OsebnaVozila!C5</f>
        <v>2040</v>
      </c>
      <c r="AA66" t="s">
        <v>257</v>
      </c>
    </row>
    <row r="67" spans="2:30" x14ac:dyDescent="0.35">
      <c r="B67" s="30" t="s">
        <v>245</v>
      </c>
      <c r="C67" s="36">
        <f>C16</f>
        <v>2.6081322578102504</v>
      </c>
      <c r="H67" s="36">
        <f t="shared" ref="H67:W67" si="13">H16</f>
        <v>2.5601980638903061</v>
      </c>
      <c r="I67" s="36">
        <f t="shared" si="13"/>
        <v>2.5490170951556825</v>
      </c>
      <c r="J67" s="36">
        <f t="shared" si="13"/>
        <v>2.5376571676674256</v>
      </c>
      <c r="K67" s="36">
        <f t="shared" si="13"/>
        <v>2.5260042922920816</v>
      </c>
      <c r="L67" s="36">
        <f t="shared" si="13"/>
        <v>2.513993801968025</v>
      </c>
      <c r="M67" s="36">
        <f t="shared" si="13"/>
        <v>2.500482700637376</v>
      </c>
      <c r="N67" s="36">
        <f t="shared" si="13"/>
        <v>2.4853081185226125</v>
      </c>
      <c r="O67" s="36">
        <f t="shared" si="13"/>
        <v>2.4667138410045535</v>
      </c>
      <c r="P67" s="36">
        <f t="shared" si="13"/>
        <v>2.3815127783309999</v>
      </c>
      <c r="Q67" s="36">
        <f t="shared" si="13"/>
        <v>2.2253154902561696</v>
      </c>
      <c r="R67" s="36">
        <f t="shared" si="13"/>
        <v>2.1223585328198511</v>
      </c>
      <c r="S67" s="36">
        <f t="shared" si="13"/>
        <v>2.07691189512281</v>
      </c>
      <c r="T67" s="36">
        <f t="shared" si="13"/>
        <v>2.0542322111756612</v>
      </c>
      <c r="U67" s="36">
        <f t="shared" si="13"/>
        <v>2.1033522927079082</v>
      </c>
      <c r="V67" s="36">
        <f t="shared" si="13"/>
        <v>2.1515183654539434</v>
      </c>
      <c r="W67" s="36">
        <f t="shared" si="13"/>
        <v>2.1167662688325835</v>
      </c>
      <c r="Y67" s="30" t="s">
        <v>245</v>
      </c>
      <c r="Z67" s="43">
        <f>HLOOKUP($Z$66,$P$66:$W$73,2,0)/3.6</f>
        <v>0.57062005865990584</v>
      </c>
      <c r="AA67" s="43">
        <f t="shared" ref="AA67:AA73" si="14">$Z$63</f>
        <v>0.29310107881269937</v>
      </c>
      <c r="AC67" s="30" t="str">
        <f t="shared" ref="AC67:AC73" si="15">Y67</f>
        <v>bencin</v>
      </c>
      <c r="AD67">
        <f>Z67*'Št. avtomobilov'!AA25*OsebnaVozila!$C$8/1000000</f>
        <v>245.04606228720556</v>
      </c>
    </row>
    <row r="68" spans="2:30" x14ac:dyDescent="0.35">
      <c r="B68" s="30" t="s">
        <v>246</v>
      </c>
      <c r="C68" s="36">
        <f>C19</f>
        <v>2.474300447301458</v>
      </c>
      <c r="H68" s="36">
        <f t="shared" ref="H68:W68" si="16">H19</f>
        <v>2.4346850461075222</v>
      </c>
      <c r="I68" s="36">
        <f t="shared" si="16"/>
        <v>2.4260120171875048</v>
      </c>
      <c r="J68" s="36">
        <f t="shared" si="16"/>
        <v>2.4156766962174476</v>
      </c>
      <c r="K68" s="36">
        <f t="shared" si="16"/>
        <v>2.4027858454643956</v>
      </c>
      <c r="L68" s="36">
        <f t="shared" si="16"/>
        <v>2.3883983626222061</v>
      </c>
      <c r="M68" s="36">
        <f t="shared" si="16"/>
        <v>2.3734751397392708</v>
      </c>
      <c r="N68" s="36">
        <f t="shared" si="16"/>
        <v>2.3580926188652986</v>
      </c>
      <c r="O68" s="36">
        <f t="shared" si="16"/>
        <v>2.3441331481066454</v>
      </c>
      <c r="P68" s="36">
        <f t="shared" si="16"/>
        <v>2.3077709037299243</v>
      </c>
      <c r="Q68" s="36">
        <f t="shared" si="16"/>
        <v>2.2495716534924193</v>
      </c>
      <c r="R68" s="36">
        <f t="shared" si="16"/>
        <v>2.2039069141456564</v>
      </c>
      <c r="S68" s="36">
        <f t="shared" si="16"/>
        <v>2.1826268514120395</v>
      </c>
      <c r="T68" s="36">
        <f t="shared" si="16"/>
        <v>2.1573883897024588</v>
      </c>
      <c r="U68" s="36">
        <f t="shared" si="16"/>
        <v>2.1940864806746609</v>
      </c>
      <c r="V68" s="36">
        <f t="shared" si="16"/>
        <v>2.2248155247100749</v>
      </c>
      <c r="W68" s="36">
        <f t="shared" si="16"/>
        <v>2.2193177381324309</v>
      </c>
      <c r="Y68" s="30" t="s">
        <v>246</v>
      </c>
      <c r="Z68" s="43">
        <f>HLOOKUP($Z$66,$P$66:$W$73,3,0)/3.6</f>
        <v>0.59927455269512742</v>
      </c>
      <c r="AA68" s="43">
        <f t="shared" si="14"/>
        <v>0.29310107881269937</v>
      </c>
      <c r="AC68" s="30" t="str">
        <f t="shared" si="15"/>
        <v>dizel</v>
      </c>
      <c r="AD68">
        <f>Z68*'Št. avtomobilov'!AA26*OsebnaVozila!$C$8/1000000</f>
        <v>212.25643057355236</v>
      </c>
    </row>
    <row r="69" spans="2:30" x14ac:dyDescent="0.35">
      <c r="B69" s="30" t="s">
        <v>247</v>
      </c>
      <c r="C69" s="36">
        <f>AVERAGE(C22:C23)</f>
        <v>3.2898065978646231</v>
      </c>
      <c r="H69" s="36">
        <f t="shared" ref="H69:W69" si="17">AVERAGE(H22:H23)</f>
        <v>2.8763767670798801</v>
      </c>
      <c r="I69" s="36">
        <f t="shared" si="17"/>
        <v>2.8763780775936194</v>
      </c>
      <c r="J69" s="36">
        <f t="shared" si="17"/>
        <v>2.8763795300832093</v>
      </c>
      <c r="K69" s="36">
        <f t="shared" si="17"/>
        <v>2.8763802046706326</v>
      </c>
      <c r="L69" s="36">
        <f t="shared" si="17"/>
        <v>2.8763805607469584</v>
      </c>
      <c r="M69" s="36">
        <f t="shared" si="17"/>
        <v>2.8763807707016946</v>
      </c>
      <c r="N69" s="36">
        <f t="shared" si="17"/>
        <v>2.8763808823804302</v>
      </c>
      <c r="O69" s="36">
        <f t="shared" si="17"/>
        <v>2.8763809531972724</v>
      </c>
      <c r="P69" s="36">
        <f t="shared" si="17"/>
        <v>2.8568810597853656</v>
      </c>
      <c r="Q69" s="36">
        <f t="shared" si="17"/>
        <v>2.7950964626764816</v>
      </c>
      <c r="R69" s="36">
        <f t="shared" si="17"/>
        <v>2.6956855234105932</v>
      </c>
      <c r="S69" s="36">
        <f t="shared" si="17"/>
        <v>2.5578287744367296</v>
      </c>
      <c r="T69" s="36">
        <f t="shared" si="17"/>
        <v>2.4271436630681933</v>
      </c>
      <c r="U69" s="36">
        <f t="shared" si="17"/>
        <v>2.3580014767300703</v>
      </c>
      <c r="V69" s="36">
        <f t="shared" si="17"/>
        <v>2.3475672919275494</v>
      </c>
      <c r="W69" s="36">
        <f t="shared" si="17"/>
        <v>2.4201763284784623</v>
      </c>
      <c r="Y69" s="30" t="s">
        <v>247</v>
      </c>
      <c r="Z69" s="43">
        <f>HLOOKUP($Z$66,$P$66:$W$73,4,0)/3.6</f>
        <v>0.67420657307449816</v>
      </c>
      <c r="AA69" s="43">
        <f t="shared" si="14"/>
        <v>0.29310107881269937</v>
      </c>
      <c r="AC69" s="30" t="str">
        <f t="shared" si="15"/>
        <v>plin</v>
      </c>
      <c r="AD69">
        <f>Z69*'Št. avtomobilov'!AA27*OsebnaVozila!$C$8/1000000</f>
        <v>14.192533791950801</v>
      </c>
    </row>
    <row r="70" spans="2:30" x14ac:dyDescent="0.35">
      <c r="B70" s="30" t="s">
        <v>248</v>
      </c>
      <c r="C70" s="36">
        <f>AVERAGE(C17,C20)</f>
        <v>1.9746231478681791</v>
      </c>
      <c r="H70" s="36">
        <f t="shared" ref="H70:W70" si="18">AVERAGE(H17,H20)</f>
        <v>1.9656767660607704</v>
      </c>
      <c r="I70" s="36" t="e">
        <f t="shared" si="18"/>
        <v>#DIV/0!</v>
      </c>
      <c r="J70" s="36">
        <f t="shared" si="18"/>
        <v>2.1490215519093652</v>
      </c>
      <c r="K70" s="36">
        <f t="shared" si="18"/>
        <v>2.1365477906936472</v>
      </c>
      <c r="L70" s="36">
        <f t="shared" si="18"/>
        <v>2.1258043120785812</v>
      </c>
      <c r="M70" s="36">
        <f t="shared" si="18"/>
        <v>2.1193576337488262</v>
      </c>
      <c r="N70" s="36">
        <f t="shared" si="18"/>
        <v>2.1258525753344943</v>
      </c>
      <c r="O70" s="36">
        <f t="shared" si="18"/>
        <v>2.1309679990606147</v>
      </c>
      <c r="P70" s="36">
        <f t="shared" si="18"/>
        <v>2.0957927454028473</v>
      </c>
      <c r="Q70" s="36">
        <f t="shared" si="18"/>
        <v>1.9856717312130829</v>
      </c>
      <c r="R70" s="36">
        <f t="shared" si="18"/>
        <v>1.8913007259639429</v>
      </c>
      <c r="S70" s="36">
        <f t="shared" si="18"/>
        <v>1.8136941446707122</v>
      </c>
      <c r="T70" s="36">
        <f t="shared" si="18"/>
        <v>1.7487068909335093</v>
      </c>
      <c r="U70" s="36">
        <f t="shared" si="18"/>
        <v>1.6973180354161861</v>
      </c>
      <c r="V70" s="36">
        <f t="shared" si="18"/>
        <v>1.6567129570121097</v>
      </c>
      <c r="W70" s="36">
        <f t="shared" si="18"/>
        <v>1.6677413794990581</v>
      </c>
      <c r="Y70" s="30" t="s">
        <v>248</v>
      </c>
      <c r="Z70" s="43">
        <f>HLOOKUP($Z$66,$P$66:$W$73,5,0)/3.6</f>
        <v>0.48575191414819702</v>
      </c>
      <c r="AA70" s="43">
        <f t="shared" si="14"/>
        <v>0.29310107881269937</v>
      </c>
      <c r="AC70" s="30" t="str">
        <f t="shared" si="15"/>
        <v>hibrid</v>
      </c>
      <c r="AD70">
        <f>Z70*'Št. avtomobilov'!AA28*OsebnaVozila!$C$8/1000000</f>
        <v>144.49421257217</v>
      </c>
    </row>
    <row r="71" spans="2:30" x14ac:dyDescent="0.35">
      <c r="B71" s="30" t="s">
        <v>249</v>
      </c>
      <c r="C71" s="36"/>
      <c r="H71" s="36"/>
      <c r="I71" s="36" t="e">
        <f t="shared" ref="I71:W71" si="19">AVERAGE(I18,I21)</f>
        <v>#DIV/0!</v>
      </c>
      <c r="J71" s="36" t="e">
        <f t="shared" si="19"/>
        <v>#DIV/0!</v>
      </c>
      <c r="K71" s="36" t="e">
        <f t="shared" si="19"/>
        <v>#DIV/0!</v>
      </c>
      <c r="L71" s="36" t="e">
        <f t="shared" si="19"/>
        <v>#DIV/0!</v>
      </c>
      <c r="M71" s="36">
        <f t="shared" si="19"/>
        <v>2.0254729295504528</v>
      </c>
      <c r="N71" s="36">
        <f t="shared" si="19"/>
        <v>2.0153861210817858</v>
      </c>
      <c r="O71" s="36">
        <f t="shared" si="19"/>
        <v>2.0060773960245148</v>
      </c>
      <c r="P71" s="36">
        <f t="shared" si="19"/>
        <v>1.9030610900740326</v>
      </c>
      <c r="Q71" s="36">
        <f t="shared" si="19"/>
        <v>1.7624202635680843</v>
      </c>
      <c r="R71" s="36">
        <f t="shared" si="19"/>
        <v>1.6950758872888798</v>
      </c>
      <c r="S71" s="36">
        <f t="shared" si="19"/>
        <v>1.6511779269248144</v>
      </c>
      <c r="T71" s="36">
        <f t="shared" si="19"/>
        <v>1.618667433938203</v>
      </c>
      <c r="U71" s="36">
        <f t="shared" si="19"/>
        <v>1.599164994055509</v>
      </c>
      <c r="V71" s="36">
        <f t="shared" si="19"/>
        <v>1.5867217137414324</v>
      </c>
      <c r="W71" s="36">
        <f t="shared" si="19"/>
        <v>1.5765318075485819</v>
      </c>
      <c r="Y71" s="30" t="s">
        <v>249</v>
      </c>
      <c r="Z71" s="43">
        <f>HLOOKUP($Z$66,$P$66:$W$73,6,0)/3.6</f>
        <v>0.44962984276061191</v>
      </c>
      <c r="AA71" s="43">
        <f t="shared" si="14"/>
        <v>0.29310107881269937</v>
      </c>
      <c r="AC71" s="30" t="str">
        <f t="shared" si="15"/>
        <v>PHEV</v>
      </c>
      <c r="AD71">
        <f>Z71*'Št. avtomobilov'!AA29*OsebnaVozila!$C$8/1000000</f>
        <v>268.03826980953261</v>
      </c>
    </row>
    <row r="72" spans="2:30" x14ac:dyDescent="0.35">
      <c r="B72" s="30" t="s">
        <v>250</v>
      </c>
      <c r="C72" s="36">
        <f>C24</f>
        <v>0</v>
      </c>
      <c r="H72" s="36">
        <f t="shared" ref="H72:W72" si="20">H24</f>
        <v>0.495585798816568</v>
      </c>
      <c r="I72" s="36">
        <f t="shared" si="20"/>
        <v>0.49558579881656806</v>
      </c>
      <c r="J72" s="36">
        <f t="shared" si="20"/>
        <v>0.49558579881656795</v>
      </c>
      <c r="K72" s="36">
        <f t="shared" si="20"/>
        <v>0.495585798816568</v>
      </c>
      <c r="L72" s="36">
        <f t="shared" si="20"/>
        <v>0.49558579881656828</v>
      </c>
      <c r="M72" s="36">
        <f t="shared" si="20"/>
        <v>0.49558579881656811</v>
      </c>
      <c r="N72" s="36">
        <f t="shared" si="20"/>
        <v>0.49558579881656784</v>
      </c>
      <c r="O72" s="36">
        <f t="shared" si="20"/>
        <v>0.49558579881656822</v>
      </c>
      <c r="P72" s="36">
        <f t="shared" si="20"/>
        <v>0.50492491237905579</v>
      </c>
      <c r="Q72" s="36">
        <f t="shared" si="20"/>
        <v>0.52835475162982415</v>
      </c>
      <c r="R72" s="36">
        <f t="shared" si="20"/>
        <v>0.55253703993422698</v>
      </c>
      <c r="S72" s="36">
        <f t="shared" si="20"/>
        <v>0.53869571461524779</v>
      </c>
      <c r="T72" s="36">
        <f t="shared" si="20"/>
        <v>0.49362416569031686</v>
      </c>
      <c r="U72" s="36">
        <f t="shared" si="20"/>
        <v>0.46107143880937157</v>
      </c>
      <c r="V72" s="36">
        <f t="shared" si="20"/>
        <v>0.4413303353922049</v>
      </c>
      <c r="W72" s="36">
        <f t="shared" si="20"/>
        <v>0.43187253145739252</v>
      </c>
      <c r="Y72" s="30" t="s">
        <v>250</v>
      </c>
      <c r="Z72" s="43">
        <f>HLOOKUP($Z$66,$P$66:$W$73,7,0)/3.6</f>
        <v>0.1371178238028658</v>
      </c>
      <c r="AA72" s="43">
        <f t="shared" si="14"/>
        <v>0.29310107881269937</v>
      </c>
      <c r="AC72" s="30" t="str">
        <f t="shared" si="15"/>
        <v>BEV</v>
      </c>
      <c r="AD72">
        <f>Z72*'Št. avtomobilov'!AA30*OsebnaVozila!$C$8/1000000</f>
        <v>307.29813350778102</v>
      </c>
    </row>
    <row r="73" spans="2:30" x14ac:dyDescent="0.35">
      <c r="B73" s="30" t="s">
        <v>251</v>
      </c>
      <c r="C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>
        <f t="shared" ref="R73:W73" si="21">R25</f>
        <v>0.76542269678054953</v>
      </c>
      <c r="S73" s="36">
        <f t="shared" si="21"/>
        <v>0.73837440606062354</v>
      </c>
      <c r="T73" s="36">
        <f t="shared" si="21"/>
        <v>0.71438581648610966</v>
      </c>
      <c r="U73" s="36">
        <f t="shared" si="21"/>
        <v>0.68999313451015032</v>
      </c>
      <c r="V73" s="36">
        <f t="shared" si="21"/>
        <v>0.66328592911345607</v>
      </c>
      <c r="W73" s="36">
        <f t="shared" si="21"/>
        <v>0.64415579610870544</v>
      </c>
      <c r="Y73" s="30" t="s">
        <v>251</v>
      </c>
      <c r="Z73" s="43">
        <f>HLOOKUP($Z$66,$P$66:$W$73,8,0)/3.6</f>
        <v>0.1984405045794749</v>
      </c>
      <c r="AA73" s="43">
        <f t="shared" si="14"/>
        <v>0.29310107881269937</v>
      </c>
      <c r="AC73" s="30" t="str">
        <f t="shared" si="15"/>
        <v>HEV</v>
      </c>
      <c r="AD73">
        <f>Z73*'Št. avtomobilov'!AA31*OsebnaVozila!$C$8/1000000</f>
        <v>20.967180056956309</v>
      </c>
    </row>
    <row r="74" spans="2:30" x14ac:dyDescent="0.35">
      <c r="AD74">
        <f>SUM(AD67:AD73)</f>
        <v>1212.2928225991486</v>
      </c>
    </row>
  </sheetData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AD74"/>
  <sheetViews>
    <sheetView workbookViewId="0">
      <selection activeCell="X61" sqref="X61"/>
    </sheetView>
  </sheetViews>
  <sheetFormatPr defaultRowHeight="14.5" x14ac:dyDescent="0.35"/>
  <cols>
    <col min="3" max="3" width="9.81640625" bestFit="1" customWidth="1"/>
    <col min="4" max="7" width="0" hidden="1" bestFit="1" customWidth="1"/>
    <col min="9" max="12" width="0" hidden="1" bestFit="1" customWidth="1"/>
    <col min="14" max="15" width="0" hidden="1" bestFit="1" customWidth="1"/>
    <col min="28" max="28" width="11.81640625" bestFit="1" customWidth="1"/>
    <col min="30" max="30" width="9.81640625" bestFit="1" customWidth="1"/>
  </cols>
  <sheetData>
    <row r="1" spans="2:23" x14ac:dyDescent="0.35">
      <c r="C1" s="30">
        <v>2005</v>
      </c>
      <c r="D1" s="30">
        <v>2006</v>
      </c>
      <c r="E1" s="30">
        <v>2007</v>
      </c>
      <c r="F1" s="30">
        <v>2008</v>
      </c>
      <c r="G1" s="30">
        <v>2009</v>
      </c>
      <c r="H1" s="30">
        <v>2010</v>
      </c>
      <c r="I1" s="30">
        <v>2011</v>
      </c>
      <c r="J1" s="30">
        <v>2012</v>
      </c>
      <c r="K1" s="30">
        <v>2013</v>
      </c>
      <c r="L1" s="30">
        <v>2014</v>
      </c>
      <c r="M1" s="30">
        <v>2015</v>
      </c>
      <c r="N1" s="30">
        <v>2016</v>
      </c>
      <c r="O1" s="30">
        <v>2017</v>
      </c>
      <c r="P1" s="30">
        <v>2020</v>
      </c>
      <c r="Q1" s="30">
        <v>2025</v>
      </c>
      <c r="R1" s="30">
        <v>2030</v>
      </c>
      <c r="S1" s="30">
        <v>2035</v>
      </c>
      <c r="T1" s="30">
        <v>2040</v>
      </c>
      <c r="U1" s="30">
        <v>2045</v>
      </c>
      <c r="V1" s="30">
        <v>2050</v>
      </c>
      <c r="W1" s="30">
        <v>2055</v>
      </c>
    </row>
    <row r="2" spans="2:23" x14ac:dyDescent="0.35">
      <c r="B2" s="31" t="s">
        <v>231</v>
      </c>
      <c r="C2" s="32">
        <v>744517</v>
      </c>
      <c r="D2" s="32">
        <v>747567</v>
      </c>
      <c r="E2" s="32">
        <v>743372</v>
      </c>
      <c r="F2" s="32">
        <v>739618</v>
      </c>
      <c r="G2" s="32">
        <v>724570</v>
      </c>
      <c r="H2" s="32">
        <v>704334</v>
      </c>
      <c r="I2" s="32">
        <v>690420</v>
      </c>
      <c r="J2" s="32">
        <v>671003</v>
      </c>
      <c r="K2" s="32">
        <v>651081</v>
      </c>
      <c r="L2" s="32">
        <v>635368</v>
      </c>
      <c r="M2" s="32">
        <v>624429</v>
      </c>
      <c r="N2" s="32">
        <v>617828</v>
      </c>
      <c r="O2" s="32">
        <v>614980</v>
      </c>
      <c r="P2" s="32">
        <v>601235</v>
      </c>
      <c r="Q2" s="32">
        <v>548145</v>
      </c>
      <c r="R2" s="32">
        <v>437152</v>
      </c>
      <c r="S2" s="32">
        <v>286710</v>
      </c>
      <c r="T2" s="32">
        <v>134267</v>
      </c>
      <c r="U2" s="32">
        <v>36196</v>
      </c>
      <c r="V2" s="32">
        <v>11240</v>
      </c>
      <c r="W2" s="32">
        <v>4184</v>
      </c>
    </row>
    <row r="3" spans="2:23" x14ac:dyDescent="0.35">
      <c r="B3" s="33" t="s">
        <v>232</v>
      </c>
      <c r="C3" s="32">
        <v>72</v>
      </c>
      <c r="D3" s="32">
        <v>119</v>
      </c>
      <c r="E3" s="32">
        <v>198</v>
      </c>
      <c r="F3" s="32">
        <v>285</v>
      </c>
      <c r="G3" s="32">
        <v>400</v>
      </c>
      <c r="H3" s="32">
        <v>510</v>
      </c>
      <c r="I3" s="32">
        <v>583</v>
      </c>
      <c r="J3" s="32">
        <v>670</v>
      </c>
      <c r="K3" s="32">
        <v>804</v>
      </c>
      <c r="L3" s="32">
        <v>1035</v>
      </c>
      <c r="M3" s="32">
        <v>1235</v>
      </c>
      <c r="N3" s="32">
        <v>1651</v>
      </c>
      <c r="O3" s="32">
        <v>2539</v>
      </c>
      <c r="P3" s="32">
        <v>10703</v>
      </c>
      <c r="Q3" s="32">
        <v>48980</v>
      </c>
      <c r="R3" s="32">
        <v>87849</v>
      </c>
      <c r="S3" s="32">
        <v>99607</v>
      </c>
      <c r="T3" s="32">
        <v>80665</v>
      </c>
      <c r="U3" s="32">
        <v>47146</v>
      </c>
      <c r="V3" s="32">
        <v>21773</v>
      </c>
      <c r="W3" s="32">
        <v>9350</v>
      </c>
    </row>
    <row r="4" spans="2:23" x14ac:dyDescent="0.35">
      <c r="B4" s="33" t="s">
        <v>233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10</v>
      </c>
      <c r="K4" s="32">
        <v>22</v>
      </c>
      <c r="L4" s="32">
        <v>30</v>
      </c>
      <c r="M4" s="32">
        <v>64</v>
      </c>
      <c r="N4" s="32">
        <v>127</v>
      </c>
      <c r="O4" s="32">
        <v>298</v>
      </c>
      <c r="P4" s="32">
        <v>1580</v>
      </c>
      <c r="Q4" s="32">
        <v>17895</v>
      </c>
      <c r="R4" s="32">
        <v>67247</v>
      </c>
      <c r="S4" s="32">
        <v>124590</v>
      </c>
      <c r="T4" s="32">
        <v>159685</v>
      </c>
      <c r="U4" s="32">
        <v>132986</v>
      </c>
      <c r="V4" s="32">
        <v>81754</v>
      </c>
      <c r="W4" s="32">
        <v>37164</v>
      </c>
    </row>
    <row r="5" spans="2:23" x14ac:dyDescent="0.35">
      <c r="B5" s="31" t="s">
        <v>234</v>
      </c>
      <c r="C5" s="32">
        <v>191641</v>
      </c>
      <c r="D5" s="32">
        <v>241679</v>
      </c>
      <c r="E5" s="32">
        <v>283191</v>
      </c>
      <c r="F5" s="32">
        <v>319491</v>
      </c>
      <c r="G5" s="32">
        <v>351729</v>
      </c>
      <c r="H5" s="32">
        <v>375846</v>
      </c>
      <c r="I5" s="32">
        <v>397660</v>
      </c>
      <c r="J5" s="32">
        <v>421410</v>
      </c>
      <c r="K5" s="32">
        <v>444858</v>
      </c>
      <c r="L5" s="32">
        <v>470613</v>
      </c>
      <c r="M5" s="32">
        <v>499050</v>
      </c>
      <c r="N5" s="32">
        <v>531510</v>
      </c>
      <c r="O5" s="32">
        <v>565830</v>
      </c>
      <c r="P5" s="32">
        <v>658034</v>
      </c>
      <c r="Q5" s="32">
        <v>667120</v>
      </c>
      <c r="R5" s="32">
        <v>545563</v>
      </c>
      <c r="S5" s="32">
        <v>359982</v>
      </c>
      <c r="T5" s="32">
        <v>110738</v>
      </c>
      <c r="U5" s="32">
        <v>34314</v>
      </c>
      <c r="V5" s="32">
        <v>13118</v>
      </c>
      <c r="W5" s="32">
        <v>5268</v>
      </c>
    </row>
    <row r="6" spans="2:23" x14ac:dyDescent="0.35">
      <c r="B6" s="33" t="s">
        <v>235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24</v>
      </c>
      <c r="K6" s="32">
        <v>34</v>
      </c>
      <c r="L6" s="32">
        <v>45</v>
      </c>
      <c r="M6" s="32">
        <v>66</v>
      </c>
      <c r="N6" s="32">
        <v>139</v>
      </c>
      <c r="O6" s="32">
        <v>215</v>
      </c>
      <c r="P6" s="32">
        <v>684</v>
      </c>
      <c r="Q6" s="32">
        <v>4714</v>
      </c>
      <c r="R6" s="32">
        <v>10076</v>
      </c>
      <c r="S6" s="32">
        <v>13063</v>
      </c>
      <c r="T6" s="32">
        <v>12340</v>
      </c>
      <c r="U6" s="32">
        <v>8792</v>
      </c>
      <c r="V6" s="32">
        <v>5129</v>
      </c>
      <c r="W6" s="32">
        <v>2723</v>
      </c>
    </row>
    <row r="7" spans="2:23" x14ac:dyDescent="0.35">
      <c r="B7" s="33" t="s">
        <v>236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2</v>
      </c>
      <c r="N7" s="32">
        <v>7</v>
      </c>
      <c r="O7" s="32">
        <v>14</v>
      </c>
      <c r="P7" s="32">
        <v>78</v>
      </c>
      <c r="Q7" s="32">
        <v>1863</v>
      </c>
      <c r="R7" s="32">
        <v>8793</v>
      </c>
      <c r="S7" s="32">
        <v>18696</v>
      </c>
      <c r="T7" s="32">
        <v>26694</v>
      </c>
      <c r="U7" s="32">
        <v>24688</v>
      </c>
      <c r="V7" s="32">
        <v>17741</v>
      </c>
      <c r="W7" s="32">
        <v>10165</v>
      </c>
    </row>
    <row r="8" spans="2:23" x14ac:dyDescent="0.35">
      <c r="B8" s="31" t="s">
        <v>237</v>
      </c>
      <c r="C8" s="32">
        <v>275</v>
      </c>
      <c r="D8" s="32">
        <v>1143</v>
      </c>
      <c r="E8" s="32">
        <v>1977</v>
      </c>
      <c r="F8" s="32">
        <v>2755</v>
      </c>
      <c r="G8" s="32">
        <v>3459</v>
      </c>
      <c r="H8" s="32">
        <v>2221</v>
      </c>
      <c r="I8" s="32">
        <v>2801</v>
      </c>
      <c r="J8" s="32">
        <v>4483</v>
      </c>
      <c r="K8" s="32">
        <v>5971</v>
      </c>
      <c r="L8" s="32">
        <v>7340</v>
      </c>
      <c r="M8" s="32">
        <v>8629</v>
      </c>
      <c r="N8" s="32">
        <v>9611</v>
      </c>
      <c r="O8" s="32">
        <v>10313</v>
      </c>
      <c r="P8" s="32">
        <v>11174</v>
      </c>
      <c r="Q8" s="32">
        <v>10974</v>
      </c>
      <c r="R8" s="32">
        <v>10590</v>
      </c>
      <c r="S8" s="32">
        <v>8896</v>
      </c>
      <c r="T8" s="32">
        <v>5599</v>
      </c>
      <c r="U8" s="32">
        <v>2822</v>
      </c>
      <c r="V8" s="32">
        <v>1448</v>
      </c>
      <c r="W8" s="32">
        <v>848</v>
      </c>
    </row>
    <row r="9" spans="2:23" x14ac:dyDescent="0.35">
      <c r="B9" s="31" t="s">
        <v>238</v>
      </c>
      <c r="C9" s="32">
        <v>0</v>
      </c>
      <c r="D9" s="32">
        <v>0</v>
      </c>
      <c r="E9" s="32">
        <v>0</v>
      </c>
      <c r="F9" s="32">
        <v>0</v>
      </c>
      <c r="G9" s="32">
        <v>2</v>
      </c>
      <c r="H9" s="32">
        <v>14</v>
      </c>
      <c r="I9" s="32">
        <v>16</v>
      </c>
      <c r="J9" s="32">
        <v>26</v>
      </c>
      <c r="K9" s="32">
        <v>44</v>
      </c>
      <c r="L9" s="32">
        <v>105</v>
      </c>
      <c r="M9" s="32">
        <v>148</v>
      </c>
      <c r="N9" s="32">
        <v>161</v>
      </c>
      <c r="O9" s="32">
        <v>217</v>
      </c>
      <c r="P9" s="32">
        <v>475</v>
      </c>
      <c r="Q9" s="32">
        <v>825</v>
      </c>
      <c r="R9" s="32">
        <v>1015</v>
      </c>
      <c r="S9" s="32">
        <v>1113</v>
      </c>
      <c r="T9" s="32">
        <v>981</v>
      </c>
      <c r="U9" s="32">
        <v>664</v>
      </c>
      <c r="V9" s="32">
        <v>384</v>
      </c>
      <c r="W9" s="32">
        <v>177</v>
      </c>
    </row>
    <row r="10" spans="2:23" x14ac:dyDescent="0.35">
      <c r="B10" s="33" t="s">
        <v>239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7</v>
      </c>
      <c r="I10" s="32">
        <v>23</v>
      </c>
      <c r="J10" s="32">
        <v>40</v>
      </c>
      <c r="K10" s="32">
        <v>52</v>
      </c>
      <c r="L10" s="32">
        <v>101</v>
      </c>
      <c r="M10" s="32">
        <v>244</v>
      </c>
      <c r="N10" s="32">
        <v>418</v>
      </c>
      <c r="O10" s="32">
        <v>755</v>
      </c>
      <c r="P10" s="32">
        <v>3243</v>
      </c>
      <c r="Q10" s="32">
        <v>21923</v>
      </c>
      <c r="R10" s="32">
        <v>140639</v>
      </c>
      <c r="S10" s="32">
        <v>366566</v>
      </c>
      <c r="T10" s="32">
        <v>700694</v>
      </c>
      <c r="U10" s="32">
        <v>874990</v>
      </c>
      <c r="V10" s="32">
        <v>905280</v>
      </c>
      <c r="W10" s="32">
        <v>877254</v>
      </c>
    </row>
    <row r="11" spans="2:23" x14ac:dyDescent="0.35">
      <c r="B11" s="33" t="s">
        <v>240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3792</v>
      </c>
      <c r="S11" s="32">
        <v>13822</v>
      </c>
      <c r="T11" s="32">
        <v>33033</v>
      </c>
      <c r="U11" s="32">
        <v>59900</v>
      </c>
      <c r="V11" s="32">
        <v>99777</v>
      </c>
      <c r="W11" s="32">
        <v>145658</v>
      </c>
    </row>
    <row r="12" spans="2:23" x14ac:dyDescent="0.35">
      <c r="C12" s="32">
        <f>SUM(C2:C11)</f>
        <v>936505</v>
      </c>
      <c r="H12" s="32">
        <f t="shared" ref="H12:W12" si="0">SUM(H2:H11)</f>
        <v>1082932</v>
      </c>
      <c r="I12" s="32">
        <f t="shared" si="0"/>
        <v>1091503</v>
      </c>
      <c r="J12" s="32">
        <f t="shared" si="0"/>
        <v>1097666</v>
      </c>
      <c r="K12" s="32">
        <f t="shared" si="0"/>
        <v>1102866</v>
      </c>
      <c r="L12" s="32">
        <f t="shared" si="0"/>
        <v>1114637</v>
      </c>
      <c r="M12" s="32">
        <f t="shared" si="0"/>
        <v>1133867</v>
      </c>
      <c r="N12" s="32">
        <f t="shared" si="0"/>
        <v>1161452</v>
      </c>
      <c r="O12" s="32">
        <f t="shared" si="0"/>
        <v>1195161</v>
      </c>
      <c r="P12" s="32">
        <f t="shared" si="0"/>
        <v>1287206</v>
      </c>
      <c r="Q12" s="32">
        <f t="shared" si="0"/>
        <v>1322439</v>
      </c>
      <c r="R12" s="32">
        <f t="shared" si="0"/>
        <v>1312716</v>
      </c>
      <c r="S12" s="32">
        <f t="shared" si="0"/>
        <v>1293045</v>
      </c>
      <c r="T12" s="32">
        <f t="shared" si="0"/>
        <v>1264696</v>
      </c>
      <c r="U12" s="32">
        <f t="shared" si="0"/>
        <v>1222498</v>
      </c>
      <c r="V12" s="32">
        <f t="shared" si="0"/>
        <v>1157644</v>
      </c>
      <c r="W12" s="32">
        <f t="shared" si="0"/>
        <v>1092791</v>
      </c>
    </row>
    <row r="14" spans="2:23" x14ac:dyDescent="0.35">
      <c r="B14" t="s">
        <v>254</v>
      </c>
    </row>
    <row r="15" spans="2:23" x14ac:dyDescent="0.35">
      <c r="C15" s="30">
        <v>2005</v>
      </c>
      <c r="D15" s="30">
        <v>2006</v>
      </c>
      <c r="E15" s="30">
        <v>2007</v>
      </c>
      <c r="F15" s="30">
        <v>2008</v>
      </c>
      <c r="G15" s="30">
        <v>2009</v>
      </c>
      <c r="H15" s="30">
        <v>2010</v>
      </c>
      <c r="I15" s="30">
        <v>2011</v>
      </c>
      <c r="J15" s="30">
        <v>2012</v>
      </c>
      <c r="K15" s="30">
        <v>2013</v>
      </c>
      <c r="L15" s="30">
        <v>2014</v>
      </c>
      <c r="M15" s="30">
        <v>2015</v>
      </c>
      <c r="N15" s="30">
        <v>2016</v>
      </c>
      <c r="O15" s="30">
        <v>2017</v>
      </c>
      <c r="P15" s="30">
        <v>2020</v>
      </c>
      <c r="Q15" s="30">
        <v>2025</v>
      </c>
      <c r="R15" s="30">
        <v>2030</v>
      </c>
      <c r="S15" s="30">
        <v>2035</v>
      </c>
      <c r="T15" s="30">
        <v>2040</v>
      </c>
      <c r="U15" s="30">
        <v>2045</v>
      </c>
      <c r="V15" s="30">
        <v>2050</v>
      </c>
      <c r="W15" s="30">
        <v>2055</v>
      </c>
    </row>
    <row r="16" spans="2:23" x14ac:dyDescent="0.35">
      <c r="B16" s="31" t="s">
        <v>231</v>
      </c>
      <c r="C16" s="42">
        <v>2.6081322578102504</v>
      </c>
      <c r="D16" s="42"/>
      <c r="E16" s="42"/>
      <c r="F16" s="42"/>
      <c r="G16" s="42"/>
      <c r="H16" s="42">
        <v>2.5601980638903061</v>
      </c>
      <c r="I16" s="42">
        <v>2.5490170951556825</v>
      </c>
      <c r="J16" s="42">
        <v>2.5376571676674256</v>
      </c>
      <c r="K16" s="42">
        <v>2.5260042922920816</v>
      </c>
      <c r="L16" s="42">
        <v>2.513993801968025</v>
      </c>
      <c r="M16" s="42">
        <v>2.500482700637376</v>
      </c>
      <c r="N16" s="42">
        <v>2.4853081185226125</v>
      </c>
      <c r="O16" s="42">
        <v>2.4667138410045535</v>
      </c>
      <c r="P16" s="42">
        <v>2.3815127783309999</v>
      </c>
      <c r="Q16" s="42">
        <v>2.2253154902561696</v>
      </c>
      <c r="R16" s="42">
        <v>2.1223585328198511</v>
      </c>
      <c r="S16" s="42">
        <v>2.07691189512281</v>
      </c>
      <c r="T16" s="42">
        <v>2.0542322111756612</v>
      </c>
      <c r="U16" s="42">
        <v>2.1033522927079082</v>
      </c>
      <c r="V16" s="42">
        <v>2.1515183654539434</v>
      </c>
      <c r="W16" s="42">
        <v>2.1167662688325835</v>
      </c>
    </row>
    <row r="17" spans="1:23" x14ac:dyDescent="0.35">
      <c r="B17" s="33" t="s">
        <v>232</v>
      </c>
      <c r="C17" s="42">
        <v>1.9746231478681791</v>
      </c>
      <c r="D17" s="42"/>
      <c r="E17" s="42"/>
      <c r="F17" s="42"/>
      <c r="G17" s="42"/>
      <c r="H17" s="42">
        <v>1.9656767660607704</v>
      </c>
      <c r="I17" s="42">
        <v>1.9602447441531232</v>
      </c>
      <c r="J17" s="42">
        <v>1.9505127358809347</v>
      </c>
      <c r="K17" s="42">
        <v>1.9255652134494994</v>
      </c>
      <c r="L17" s="42">
        <v>1.9040782562193663</v>
      </c>
      <c r="M17" s="42">
        <v>1.8911848995598577</v>
      </c>
      <c r="N17" s="42">
        <v>1.901256266653806</v>
      </c>
      <c r="O17" s="42">
        <v>1.9071521922297845</v>
      </c>
      <c r="P17" s="42">
        <v>1.8484412944877833</v>
      </c>
      <c r="Q17" s="42">
        <v>1.7289492137540263</v>
      </c>
      <c r="R17" s="42">
        <v>1.6338315941832924</v>
      </c>
      <c r="S17" s="42">
        <v>1.5545301149694524</v>
      </c>
      <c r="T17" s="42">
        <v>1.4829915896323391</v>
      </c>
      <c r="U17" s="42">
        <v>1.4208057602546045</v>
      </c>
      <c r="V17" s="42">
        <v>1.3745930060481815</v>
      </c>
      <c r="W17" s="42">
        <v>1.3964509791458597</v>
      </c>
    </row>
    <row r="18" spans="1:23" x14ac:dyDescent="0.35">
      <c r="B18" s="33" t="s">
        <v>233</v>
      </c>
      <c r="C18" s="42"/>
      <c r="D18" s="42"/>
      <c r="E18" s="42"/>
      <c r="F18" s="42"/>
      <c r="G18" s="42"/>
      <c r="H18" s="42"/>
      <c r="I18" s="42" t="e">
        <v>#DIV/0!</v>
      </c>
      <c r="J18" s="42">
        <v>1.8234863109556805</v>
      </c>
      <c r="K18" s="42">
        <v>1.8234863109556803</v>
      </c>
      <c r="L18" s="42">
        <v>1.8234863109556805</v>
      </c>
      <c r="M18" s="42">
        <v>1.82348631095568</v>
      </c>
      <c r="N18" s="42">
        <v>1.8281822905844982</v>
      </c>
      <c r="O18" s="42">
        <v>1.8382226640241945</v>
      </c>
      <c r="P18" s="42">
        <v>1.7556391603933448</v>
      </c>
      <c r="Q18" s="42">
        <v>1.6340836592025452</v>
      </c>
      <c r="R18" s="42">
        <v>1.5745071150996428</v>
      </c>
      <c r="S18" s="42">
        <v>1.5379157303645095</v>
      </c>
      <c r="T18" s="42">
        <v>1.5130987914806693</v>
      </c>
      <c r="U18" s="42">
        <v>1.4954979955996479</v>
      </c>
      <c r="V18" s="42">
        <v>1.4841995235200083</v>
      </c>
      <c r="W18" s="42">
        <v>1.4752326184416391</v>
      </c>
    </row>
    <row r="19" spans="1:23" x14ac:dyDescent="0.35">
      <c r="B19" s="31" t="s">
        <v>234</v>
      </c>
      <c r="C19" s="42">
        <v>2.474300447301458</v>
      </c>
      <c r="D19" s="42"/>
      <c r="E19" s="42"/>
      <c r="F19" s="42"/>
      <c r="G19" s="42"/>
      <c r="H19" s="42">
        <v>2.4346850461075222</v>
      </c>
      <c r="I19" s="42">
        <v>2.4260120171875048</v>
      </c>
      <c r="J19" s="42">
        <v>2.4156766962174476</v>
      </c>
      <c r="K19" s="42">
        <v>2.4027858454643956</v>
      </c>
      <c r="L19" s="42">
        <v>2.3883983626222061</v>
      </c>
      <c r="M19" s="42">
        <v>2.3734751397392708</v>
      </c>
      <c r="N19" s="42">
        <v>2.3580926188652986</v>
      </c>
      <c r="O19" s="42">
        <v>2.3441331481066454</v>
      </c>
      <c r="P19" s="42">
        <v>2.3077709037299243</v>
      </c>
      <c r="Q19" s="42">
        <v>2.2495716534924193</v>
      </c>
      <c r="R19" s="42">
        <v>2.2039069141456564</v>
      </c>
      <c r="S19" s="42">
        <v>2.1826268514120395</v>
      </c>
      <c r="T19" s="42">
        <v>2.1573883897024588</v>
      </c>
      <c r="U19" s="42">
        <v>2.1940864806746609</v>
      </c>
      <c r="V19" s="42">
        <v>2.2248155247100749</v>
      </c>
      <c r="W19" s="42">
        <v>2.2193177381324309</v>
      </c>
    </row>
    <row r="20" spans="1:23" x14ac:dyDescent="0.35">
      <c r="B20" s="33" t="s">
        <v>235</v>
      </c>
      <c r="C20" s="42"/>
      <c r="D20" s="42"/>
      <c r="E20" s="42"/>
      <c r="F20" s="42"/>
      <c r="G20" s="42"/>
      <c r="H20" s="42"/>
      <c r="I20" s="42" t="e">
        <v>#DIV/0!</v>
      </c>
      <c r="J20" s="42">
        <v>2.3475303679377957</v>
      </c>
      <c r="K20" s="42">
        <v>2.3475303679377952</v>
      </c>
      <c r="L20" s="42">
        <v>2.3475303679377957</v>
      </c>
      <c r="M20" s="42">
        <v>2.3475303679377948</v>
      </c>
      <c r="N20" s="42">
        <v>2.3504488840151825</v>
      </c>
      <c r="O20" s="42">
        <v>2.354783805891445</v>
      </c>
      <c r="P20" s="42">
        <v>2.3431441963179109</v>
      </c>
      <c r="Q20" s="42">
        <v>2.2423942486721398</v>
      </c>
      <c r="R20" s="42">
        <v>2.1487698577445937</v>
      </c>
      <c r="S20" s="42">
        <v>2.0728581743719721</v>
      </c>
      <c r="T20" s="42">
        <v>2.0144221922346794</v>
      </c>
      <c r="U20" s="42">
        <v>1.9738303105777677</v>
      </c>
      <c r="V20" s="42">
        <v>1.9388329079760378</v>
      </c>
      <c r="W20" s="42">
        <v>1.9390317798522565</v>
      </c>
    </row>
    <row r="21" spans="1:23" x14ac:dyDescent="0.35">
      <c r="B21" s="33" t="s">
        <v>236</v>
      </c>
      <c r="C21" s="42"/>
      <c r="D21" s="42"/>
      <c r="E21" s="42"/>
      <c r="F21" s="42"/>
      <c r="G21" s="42"/>
      <c r="H21" s="42"/>
      <c r="I21" s="42" t="e">
        <v>#DIV/0!</v>
      </c>
      <c r="J21" s="42" t="e">
        <v>#DIV/0!</v>
      </c>
      <c r="K21" s="42" t="e">
        <v>#DIV/0!</v>
      </c>
      <c r="L21" s="42" t="e">
        <v>#DIV/0!</v>
      </c>
      <c r="M21" s="42">
        <v>2.2274595481452253</v>
      </c>
      <c r="N21" s="42">
        <v>2.2025899515790734</v>
      </c>
      <c r="O21" s="42">
        <v>2.1739321280248349</v>
      </c>
      <c r="P21" s="42">
        <v>2.0504830197547204</v>
      </c>
      <c r="Q21" s="42">
        <v>1.8907568679336237</v>
      </c>
      <c r="R21" s="42">
        <v>1.815644659478117</v>
      </c>
      <c r="S21" s="42">
        <v>1.764440123485119</v>
      </c>
      <c r="T21" s="42">
        <v>1.7242360763957365</v>
      </c>
      <c r="U21" s="42">
        <v>1.70283199251137</v>
      </c>
      <c r="V21" s="42">
        <v>1.6892439039628568</v>
      </c>
      <c r="W21" s="42">
        <v>1.6778309966555249</v>
      </c>
    </row>
    <row r="22" spans="1:23" x14ac:dyDescent="0.35">
      <c r="B22" s="31" t="s">
        <v>237</v>
      </c>
      <c r="C22" s="42">
        <v>3.2898065978646231</v>
      </c>
      <c r="D22" s="42"/>
      <c r="E22" s="42"/>
      <c r="F22" s="42"/>
      <c r="G22" s="42"/>
      <c r="H22" s="42">
        <v>3.2898486372221405</v>
      </c>
      <c r="I22" s="42">
        <v>3.2898512582496195</v>
      </c>
      <c r="J22" s="42">
        <v>3.2898541632287994</v>
      </c>
      <c r="K22" s="42">
        <v>3.2898555124036464</v>
      </c>
      <c r="L22" s="42">
        <v>3.2898562245562979</v>
      </c>
      <c r="M22" s="42">
        <v>3.2898566444657709</v>
      </c>
      <c r="N22" s="42">
        <v>3.2898568678232416</v>
      </c>
      <c r="O22" s="42">
        <v>3.2898570094569259</v>
      </c>
      <c r="P22" s="42">
        <v>3.2835464516503521</v>
      </c>
      <c r="Q22" s="42">
        <v>3.2392640774441648</v>
      </c>
      <c r="R22" s="42">
        <v>3.1380969663191576</v>
      </c>
      <c r="S22" s="42">
        <v>3.0107674301456133</v>
      </c>
      <c r="T22" s="42">
        <v>2.8955809501263152</v>
      </c>
      <c r="U22" s="42">
        <v>2.8275179257525824</v>
      </c>
      <c r="V22" s="42">
        <v>2.8436590951796479</v>
      </c>
      <c r="W22" s="42">
        <v>2.9426304903112599</v>
      </c>
    </row>
    <row r="23" spans="1:23" x14ac:dyDescent="0.35">
      <c r="B23" s="31" t="s">
        <v>238</v>
      </c>
      <c r="C23" s="42"/>
      <c r="D23" s="42"/>
      <c r="E23" s="42"/>
      <c r="F23" s="42"/>
      <c r="G23" s="42"/>
      <c r="H23" s="42">
        <v>2.4629048969376202</v>
      </c>
      <c r="I23" s="42">
        <v>2.4629048969376188</v>
      </c>
      <c r="J23" s="42">
        <v>2.4629048969376197</v>
      </c>
      <c r="K23" s="42">
        <v>2.4629048969376188</v>
      </c>
      <c r="L23" s="42">
        <v>2.4629048969376184</v>
      </c>
      <c r="M23" s="42">
        <v>2.4629048969376188</v>
      </c>
      <c r="N23" s="42">
        <v>2.4629048969376188</v>
      </c>
      <c r="O23" s="42">
        <v>2.4629048969376188</v>
      </c>
      <c r="P23" s="42">
        <v>2.4302156679203795</v>
      </c>
      <c r="Q23" s="42">
        <v>2.3509288479087984</v>
      </c>
      <c r="R23" s="42">
        <v>2.2532740805020284</v>
      </c>
      <c r="S23" s="42">
        <v>2.1048901187278459</v>
      </c>
      <c r="T23" s="42">
        <v>1.9587063760100718</v>
      </c>
      <c r="U23" s="42">
        <v>1.8884850277075578</v>
      </c>
      <c r="V23" s="42">
        <v>1.8514754886754512</v>
      </c>
      <c r="W23" s="42">
        <v>1.897722166645665</v>
      </c>
    </row>
    <row r="24" spans="1:23" x14ac:dyDescent="0.35">
      <c r="B24" s="33" t="s">
        <v>239</v>
      </c>
      <c r="C24" s="42"/>
      <c r="D24" s="42"/>
      <c r="E24" s="42"/>
      <c r="F24" s="42"/>
      <c r="G24" s="42"/>
      <c r="H24" s="42">
        <v>0.495585798816568</v>
      </c>
      <c r="I24" s="42">
        <v>0.49558579881656806</v>
      </c>
      <c r="J24" s="42">
        <v>0.49558579881656795</v>
      </c>
      <c r="K24" s="42">
        <v>0.495585798816568</v>
      </c>
      <c r="L24" s="42">
        <v>0.49558579881656828</v>
      </c>
      <c r="M24" s="42">
        <v>0.49558579881656811</v>
      </c>
      <c r="N24" s="42">
        <v>0.49558579881656784</v>
      </c>
      <c r="O24" s="42">
        <v>0.49558579881656822</v>
      </c>
      <c r="P24" s="42">
        <v>0.50492491237905579</v>
      </c>
      <c r="Q24" s="42">
        <v>0.52835475162982415</v>
      </c>
      <c r="R24" s="42">
        <v>0.55253703993422698</v>
      </c>
      <c r="S24" s="42">
        <v>0.53869571461524779</v>
      </c>
      <c r="T24" s="42">
        <v>0.49362416569031686</v>
      </c>
      <c r="U24" s="42">
        <v>0.46107143880937157</v>
      </c>
      <c r="V24" s="42">
        <v>0.4413303353922049</v>
      </c>
      <c r="W24" s="42">
        <v>0.43187253145739252</v>
      </c>
    </row>
    <row r="25" spans="1:23" x14ac:dyDescent="0.35">
      <c r="B25" s="33" t="s">
        <v>240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>
        <v>0.76542269678054953</v>
      </c>
      <c r="S25" s="42">
        <v>0.73837440606062354</v>
      </c>
      <c r="T25" s="42">
        <v>0.71438581648610966</v>
      </c>
      <c r="U25" s="42">
        <v>0.68999313451015032</v>
      </c>
      <c r="V25" s="42">
        <v>0.66328592911345607</v>
      </c>
      <c r="W25" s="42">
        <v>0.64415579610870544</v>
      </c>
    </row>
    <row r="27" spans="1:23" x14ac:dyDescent="0.35">
      <c r="B27" t="s">
        <v>255</v>
      </c>
    </row>
    <row r="28" spans="1:23" x14ac:dyDescent="0.35">
      <c r="C28" s="30">
        <v>2005</v>
      </c>
      <c r="D28" s="30">
        <v>2006</v>
      </c>
      <c r="E28" s="30">
        <v>2007</v>
      </c>
      <c r="F28" s="30">
        <v>2008</v>
      </c>
      <c r="G28" s="30">
        <v>2009</v>
      </c>
      <c r="H28" s="30">
        <v>2010</v>
      </c>
      <c r="I28" s="30">
        <v>2011</v>
      </c>
      <c r="J28" s="30">
        <v>2012</v>
      </c>
      <c r="K28" s="30">
        <v>2013</v>
      </c>
      <c r="L28" s="30">
        <v>2014</v>
      </c>
      <c r="M28" s="30">
        <v>2015</v>
      </c>
      <c r="N28" s="30">
        <v>2016</v>
      </c>
      <c r="O28" s="30">
        <v>2017</v>
      </c>
      <c r="P28" s="30">
        <v>2020</v>
      </c>
      <c r="Q28" s="30">
        <v>2025</v>
      </c>
      <c r="R28" s="30">
        <v>2030</v>
      </c>
      <c r="S28" s="30">
        <v>2035</v>
      </c>
      <c r="T28" s="30">
        <v>2040</v>
      </c>
      <c r="U28" s="30">
        <v>2045</v>
      </c>
      <c r="V28" s="30">
        <v>2050</v>
      </c>
      <c r="W28" s="30">
        <v>2055</v>
      </c>
    </row>
    <row r="29" spans="1:23" x14ac:dyDescent="0.35">
      <c r="A29" s="44">
        <v>72.51995438996579</v>
      </c>
      <c r="B29" s="31" t="s">
        <v>231</v>
      </c>
      <c r="C29" s="33">
        <f t="shared" ref="C29:C35" si="1">$A29*C16</f>
        <v>189.14163237939786</v>
      </c>
      <c r="D29" s="33"/>
      <c r="E29" s="33"/>
      <c r="F29" s="33"/>
      <c r="G29" s="33"/>
      <c r="H29" s="33">
        <f t="shared" ref="H29:W38" si="2">$A29*H16</f>
        <v>185.66544682260371</v>
      </c>
      <c r="I29" s="33">
        <f t="shared" si="2"/>
        <v>184.85460347993319</v>
      </c>
      <c r="J29" s="33">
        <f t="shared" si="2"/>
        <v>184.03078205661146</v>
      </c>
      <c r="K29" s="33">
        <f t="shared" si="2"/>
        <v>183.18571606587957</v>
      </c>
      <c r="L29" s="33">
        <f t="shared" si="2"/>
        <v>182.31471585537787</v>
      </c>
      <c r="M29" s="33">
        <f t="shared" si="2"/>
        <v>181.33489140312099</v>
      </c>
      <c r="N29" s="33">
        <f t="shared" si="2"/>
        <v>180.23443140027155</v>
      </c>
      <c r="O29" s="33">
        <f t="shared" si="2"/>
        <v>178.88597524274755</v>
      </c>
      <c r="P29" s="33">
        <f t="shared" si="2"/>
        <v>172.70719806368481</v>
      </c>
      <c r="Q29" s="33">
        <f t="shared" si="2"/>
        <v>161.37977785666178</v>
      </c>
      <c r="R29" s="33">
        <f t="shared" si="2"/>
        <v>153.91334399925032</v>
      </c>
      <c r="S29" s="33">
        <f t="shared" si="2"/>
        <v>150.6175559062836</v>
      </c>
      <c r="T29" s="33">
        <f t="shared" si="2"/>
        <v>148.97282626085752</v>
      </c>
      <c r="U29" s="33">
        <f t="shared" si="2"/>
        <v>152.53501233320748</v>
      </c>
      <c r="V29" s="33">
        <f t="shared" si="2"/>
        <v>156.02801373189371</v>
      </c>
      <c r="W29" s="33">
        <f t="shared" si="2"/>
        <v>153.50779326995701</v>
      </c>
    </row>
    <row r="30" spans="1:23" x14ac:dyDescent="0.35">
      <c r="A30" s="44">
        <v>72.51995438996579</v>
      </c>
      <c r="B30" s="33" t="s">
        <v>232</v>
      </c>
      <c r="C30" s="33">
        <f t="shared" si="1"/>
        <v>143.19958062077103</v>
      </c>
      <c r="D30" s="33"/>
      <c r="E30" s="33"/>
      <c r="F30" s="33"/>
      <c r="G30" s="33"/>
      <c r="H30" s="33">
        <f t="shared" si="2"/>
        <v>142.55078942014251</v>
      </c>
      <c r="I30" s="33">
        <f t="shared" si="2"/>
        <v>142.15685943915466</v>
      </c>
      <c r="J30" s="33">
        <f t="shared" si="2"/>
        <v>141.45109464313276</v>
      </c>
      <c r="K30" s="33">
        <f t="shared" si="2"/>
        <v>139.64190145426244</v>
      </c>
      <c r="L30" s="33">
        <f t="shared" si="2"/>
        <v>138.08366829595403</v>
      </c>
      <c r="M30" s="33">
        <f t="shared" si="2"/>
        <v>137.14864265907292</v>
      </c>
      <c r="N30" s="33">
        <f t="shared" si="2"/>
        <v>137.87901774137063</v>
      </c>
      <c r="O30" s="33">
        <f t="shared" si="2"/>
        <v>138.30658999522723</v>
      </c>
      <c r="P30" s="33">
        <f t="shared" si="2"/>
        <v>134.04887836878336</v>
      </c>
      <c r="Q30" s="33">
        <f t="shared" si="2"/>
        <v>125.38331812400921</v>
      </c>
      <c r="R30" s="33">
        <f t="shared" si="2"/>
        <v>118.48539269105746</v>
      </c>
      <c r="S30" s="33">
        <f t="shared" si="2"/>
        <v>112.73445303541295</v>
      </c>
      <c r="T30" s="33">
        <f t="shared" si="2"/>
        <v>107.54648244084009</v>
      </c>
      <c r="U30" s="33">
        <f t="shared" si="2"/>
        <v>103.03676893066458</v>
      </c>
      <c r="V30" s="33">
        <f t="shared" si="2"/>
        <v>99.685422103380091</v>
      </c>
      <c r="W30" s="33">
        <f t="shared" si="2"/>
        <v>101.27056131548082</v>
      </c>
    </row>
    <row r="31" spans="1:23" x14ac:dyDescent="0.35">
      <c r="A31" s="44">
        <v>72.51995438996579</v>
      </c>
      <c r="B31" s="33" t="s">
        <v>233</v>
      </c>
      <c r="C31" s="33"/>
      <c r="D31" s="33"/>
      <c r="E31" s="33"/>
      <c r="F31" s="33"/>
      <c r="G31" s="33"/>
      <c r="H31" s="33"/>
      <c r="I31" s="33" t="e">
        <f t="shared" ref="I31:W31" si="3">$A31*I18</f>
        <v>#DIV/0!</v>
      </c>
      <c r="J31" s="33">
        <f t="shared" si="3"/>
        <v>132.23914410123291</v>
      </c>
      <c r="K31" s="33">
        <f t="shared" si="3"/>
        <v>132.23914410123291</v>
      </c>
      <c r="L31" s="33">
        <f t="shared" si="3"/>
        <v>132.23914410123291</v>
      </c>
      <c r="M31" s="33">
        <f t="shared" si="3"/>
        <v>132.23914410123288</v>
      </c>
      <c r="N31" s="33">
        <f t="shared" si="3"/>
        <v>132.57969632973101</v>
      </c>
      <c r="O31" s="33">
        <f t="shared" si="3"/>
        <v>133.307823753636</v>
      </c>
      <c r="P31" s="33">
        <f t="shared" si="3"/>
        <v>127.3188718369632</v>
      </c>
      <c r="Q31" s="33">
        <f t="shared" si="3"/>
        <v>118.50367243475698</v>
      </c>
      <c r="R31" s="33">
        <f t="shared" si="3"/>
        <v>114.18318417370271</v>
      </c>
      <c r="S31" s="33">
        <f t="shared" si="3"/>
        <v>111.52957862164516</v>
      </c>
      <c r="T31" s="33">
        <f t="shared" si="3"/>
        <v>109.7298553456905</v>
      </c>
      <c r="U31" s="33">
        <f t="shared" si="3"/>
        <v>108.45344643117173</v>
      </c>
      <c r="V31" s="33">
        <f t="shared" si="3"/>
        <v>107.63408175127996</v>
      </c>
      <c r="W31" s="33">
        <f t="shared" si="3"/>
        <v>106.98380220397748</v>
      </c>
    </row>
    <row r="32" spans="1:23" x14ac:dyDescent="0.35">
      <c r="A32" s="44">
        <v>74.295774647887328</v>
      </c>
      <c r="B32" s="31" t="s">
        <v>234</v>
      </c>
      <c r="C32" s="33">
        <f t="shared" si="1"/>
        <v>183.83006844387594</v>
      </c>
      <c r="D32" s="33"/>
      <c r="E32" s="33"/>
      <c r="F32" s="33"/>
      <c r="G32" s="33"/>
      <c r="H32" s="33">
        <f t="shared" si="2"/>
        <v>180.88681152418565</v>
      </c>
      <c r="I32" s="33">
        <f t="shared" si="2"/>
        <v>180.24244212202942</v>
      </c>
      <c r="J32" s="33">
        <f t="shared" si="2"/>
        <v>179.47457144432445</v>
      </c>
      <c r="K32" s="33">
        <f t="shared" si="2"/>
        <v>178.51683570175615</v>
      </c>
      <c r="L32" s="33">
        <f t="shared" si="2"/>
        <v>177.44790651876249</v>
      </c>
      <c r="M32" s="33">
        <f t="shared" si="2"/>
        <v>176.33917411443176</v>
      </c>
      <c r="N32" s="33">
        <f t="shared" si="2"/>
        <v>175.19631781006268</v>
      </c>
      <c r="O32" s="33">
        <f t="shared" si="2"/>
        <v>174.15918811637403</v>
      </c>
      <c r="P32" s="33">
        <f t="shared" si="2"/>
        <v>171.45762700246974</v>
      </c>
      <c r="Q32" s="33">
        <f t="shared" si="2"/>
        <v>167.13366862214806</v>
      </c>
      <c r="R32" s="33">
        <f t="shared" si="2"/>
        <v>163.74097143828646</v>
      </c>
      <c r="S32" s="33">
        <f t="shared" si="2"/>
        <v>162.15995269293674</v>
      </c>
      <c r="T32" s="33">
        <f t="shared" si="2"/>
        <v>160.28484162930241</v>
      </c>
      <c r="U32" s="33">
        <f t="shared" si="2"/>
        <v>163.0113547261808</v>
      </c>
      <c r="V32" s="33">
        <f t="shared" si="2"/>
        <v>165.29439285698092</v>
      </c>
      <c r="W32" s="33">
        <f t="shared" si="2"/>
        <v>164.88593054434611</v>
      </c>
    </row>
    <row r="33" spans="1:29" x14ac:dyDescent="0.35">
      <c r="A33" s="44">
        <v>74.295774647887328</v>
      </c>
      <c r="B33" s="33" t="s">
        <v>235</v>
      </c>
      <c r="C33" s="33"/>
      <c r="D33" s="33"/>
      <c r="E33" s="33"/>
      <c r="F33" s="33"/>
      <c r="G33" s="33"/>
      <c r="H33" s="33"/>
      <c r="I33" s="33" t="e">
        <f t="shared" ref="I33:W34" si="4">$A33*I20</f>
        <v>#DIV/0!</v>
      </c>
      <c r="J33" s="33">
        <f t="shared" si="4"/>
        <v>174.4115871953785</v>
      </c>
      <c r="K33" s="33">
        <f t="shared" si="4"/>
        <v>174.41158719537844</v>
      </c>
      <c r="L33" s="33">
        <f t="shared" si="4"/>
        <v>174.4115871953785</v>
      </c>
      <c r="M33" s="33">
        <f t="shared" si="4"/>
        <v>174.41158719537842</v>
      </c>
      <c r="N33" s="33">
        <f t="shared" si="4"/>
        <v>174.62842060817025</v>
      </c>
      <c r="O33" s="33">
        <f t="shared" si="4"/>
        <v>174.95048698700526</v>
      </c>
      <c r="P33" s="33">
        <f t="shared" si="4"/>
        <v>174.08571317714058</v>
      </c>
      <c r="Q33" s="33">
        <f t="shared" si="4"/>
        <v>166.60041777106392</v>
      </c>
      <c r="R33" s="33">
        <f t="shared" si="4"/>
        <v>159.64452112116524</v>
      </c>
      <c r="S33" s="33">
        <f t="shared" si="4"/>
        <v>154.00460380017117</v>
      </c>
      <c r="T33" s="33">
        <f t="shared" si="4"/>
        <v>149.6630572399709</v>
      </c>
      <c r="U33" s="33">
        <f t="shared" si="4"/>
        <v>146.6472519478553</v>
      </c>
      <c r="V33" s="33">
        <f t="shared" si="4"/>
        <v>144.04709281089578</v>
      </c>
      <c r="W33" s="33">
        <f t="shared" si="4"/>
        <v>144.06186815099511</v>
      </c>
    </row>
    <row r="34" spans="1:29" x14ac:dyDescent="0.35">
      <c r="A34" s="44">
        <v>74.295774647887328</v>
      </c>
      <c r="B34" s="33" t="s">
        <v>236</v>
      </c>
      <c r="C34" s="33"/>
      <c r="D34" s="33"/>
      <c r="E34" s="33"/>
      <c r="F34" s="33"/>
      <c r="G34" s="33"/>
      <c r="H34" s="33"/>
      <c r="I34" s="33" t="e">
        <f t="shared" si="4"/>
        <v>#DIV/0!</v>
      </c>
      <c r="J34" s="33" t="e">
        <f t="shared" si="4"/>
        <v>#DIV/0!</v>
      </c>
      <c r="K34" s="33" t="e">
        <f t="shared" si="4"/>
        <v>#DIV/0!</v>
      </c>
      <c r="L34" s="33" t="e">
        <f t="shared" si="4"/>
        <v>#DIV/0!</v>
      </c>
      <c r="M34" s="33">
        <f t="shared" si="4"/>
        <v>165.49083262628258</v>
      </c>
      <c r="N34" s="33">
        <f t="shared" si="4"/>
        <v>163.64312668421991</v>
      </c>
      <c r="O34" s="33">
        <f t="shared" si="4"/>
        <v>161.51397148353527</v>
      </c>
      <c r="P34" s="33">
        <f t="shared" si="4"/>
        <v>152.34222435501621</v>
      </c>
      <c r="Q34" s="33">
        <f t="shared" si="4"/>
        <v>140.47524617394177</v>
      </c>
      <c r="R34" s="33">
        <f t="shared" si="4"/>
        <v>134.8947264612263</v>
      </c>
      <c r="S34" s="33">
        <f t="shared" si="4"/>
        <v>131.09044579414089</v>
      </c>
      <c r="T34" s="33">
        <f t="shared" si="4"/>
        <v>128.10345497165508</v>
      </c>
      <c r="U34" s="33">
        <f t="shared" si="4"/>
        <v>126.51322197883771</v>
      </c>
      <c r="V34" s="33">
        <f t="shared" si="4"/>
        <v>125.50368441414183</v>
      </c>
      <c r="W34" s="33">
        <f t="shared" si="4"/>
        <v>124.65575362475907</v>
      </c>
    </row>
    <row r="35" spans="1:29" x14ac:dyDescent="0.35">
      <c r="A35" s="44">
        <v>64</v>
      </c>
      <c r="B35" s="31" t="s">
        <v>237</v>
      </c>
      <c r="C35" s="33">
        <f t="shared" si="1"/>
        <v>210.54762226333588</v>
      </c>
      <c r="D35" s="33"/>
      <c r="E35" s="33"/>
      <c r="F35" s="33"/>
      <c r="G35" s="33"/>
      <c r="H35" s="33">
        <f t="shared" si="2"/>
        <v>210.55031278221699</v>
      </c>
      <c r="I35" s="33">
        <f t="shared" si="2"/>
        <v>210.55048052797565</v>
      </c>
      <c r="J35" s="33">
        <f t="shared" si="2"/>
        <v>210.55066644664316</v>
      </c>
      <c r="K35" s="33">
        <f t="shared" si="2"/>
        <v>210.55075279383337</v>
      </c>
      <c r="L35" s="33">
        <f t="shared" si="2"/>
        <v>210.55079837160307</v>
      </c>
      <c r="M35" s="33">
        <f t="shared" si="2"/>
        <v>210.55082524580934</v>
      </c>
      <c r="N35" s="33">
        <f t="shared" si="2"/>
        <v>210.55083954068746</v>
      </c>
      <c r="O35" s="33">
        <f t="shared" si="2"/>
        <v>210.55084860524326</v>
      </c>
      <c r="P35" s="33">
        <f t="shared" si="2"/>
        <v>210.14697290562253</v>
      </c>
      <c r="Q35" s="33">
        <f t="shared" si="2"/>
        <v>207.31290095642655</v>
      </c>
      <c r="R35" s="33">
        <f t="shared" si="2"/>
        <v>200.83820584442608</v>
      </c>
      <c r="S35" s="33">
        <f t="shared" si="2"/>
        <v>192.68911552931925</v>
      </c>
      <c r="T35" s="33">
        <f t="shared" si="2"/>
        <v>185.31718080808417</v>
      </c>
      <c r="U35" s="33">
        <f t="shared" si="2"/>
        <v>180.96114724816528</v>
      </c>
      <c r="V35" s="33">
        <f t="shared" si="2"/>
        <v>181.99418209149746</v>
      </c>
      <c r="W35" s="33">
        <f t="shared" si="2"/>
        <v>188.32835137992063</v>
      </c>
    </row>
    <row r="36" spans="1:29" x14ac:dyDescent="0.35">
      <c r="A36" s="44">
        <v>55</v>
      </c>
      <c r="B36" s="31" t="s">
        <v>238</v>
      </c>
      <c r="C36" s="33"/>
      <c r="D36" s="33"/>
      <c r="E36" s="33"/>
      <c r="F36" s="33"/>
      <c r="G36" s="33"/>
      <c r="H36" s="33">
        <f t="shared" si="2"/>
        <v>135.45976933156911</v>
      </c>
      <c r="I36" s="33">
        <f t="shared" si="2"/>
        <v>135.45976933156905</v>
      </c>
      <c r="J36" s="33">
        <f t="shared" si="2"/>
        <v>135.45976933156908</v>
      </c>
      <c r="K36" s="33">
        <f t="shared" si="2"/>
        <v>135.45976933156905</v>
      </c>
      <c r="L36" s="33">
        <f t="shared" si="2"/>
        <v>135.45976933156902</v>
      </c>
      <c r="M36" s="33">
        <f t="shared" si="2"/>
        <v>135.45976933156905</v>
      </c>
      <c r="N36" s="33">
        <f t="shared" si="2"/>
        <v>135.45976933156905</v>
      </c>
      <c r="O36" s="33">
        <f t="shared" si="2"/>
        <v>135.45976933156905</v>
      </c>
      <c r="P36" s="33">
        <f t="shared" si="2"/>
        <v>133.66186173562087</v>
      </c>
      <c r="Q36" s="33">
        <f t="shared" si="2"/>
        <v>129.3010866349839</v>
      </c>
      <c r="R36" s="33">
        <f t="shared" si="2"/>
        <v>123.93007442761156</v>
      </c>
      <c r="S36" s="33">
        <f t="shared" si="2"/>
        <v>115.76895653003153</v>
      </c>
      <c r="T36" s="33">
        <f t="shared" si="2"/>
        <v>107.72885068055395</v>
      </c>
      <c r="U36" s="33">
        <f t="shared" si="2"/>
        <v>103.86667652391567</v>
      </c>
      <c r="V36" s="33">
        <f t="shared" si="2"/>
        <v>101.83115187714982</v>
      </c>
      <c r="W36" s="33">
        <f t="shared" si="2"/>
        <v>104.37471916551158</v>
      </c>
    </row>
    <row r="37" spans="1:29" x14ac:dyDescent="0.35">
      <c r="A37" s="44">
        <v>0</v>
      </c>
      <c r="B37" s="33" t="s">
        <v>239</v>
      </c>
      <c r="C37" s="33">
        <v>0</v>
      </c>
      <c r="D37" s="33"/>
      <c r="E37" s="33"/>
      <c r="F37" s="33"/>
      <c r="G37" s="33"/>
      <c r="H37" s="33">
        <f t="shared" si="2"/>
        <v>0</v>
      </c>
      <c r="I37" s="33">
        <f t="shared" si="2"/>
        <v>0</v>
      </c>
      <c r="J37" s="33">
        <f t="shared" si="2"/>
        <v>0</v>
      </c>
      <c r="K37" s="33">
        <f t="shared" si="2"/>
        <v>0</v>
      </c>
      <c r="L37" s="33">
        <f t="shared" si="2"/>
        <v>0</v>
      </c>
      <c r="M37" s="33">
        <f t="shared" si="2"/>
        <v>0</v>
      </c>
      <c r="N37" s="33">
        <f t="shared" si="2"/>
        <v>0</v>
      </c>
      <c r="O37" s="33">
        <f t="shared" si="2"/>
        <v>0</v>
      </c>
      <c r="P37" s="33">
        <f t="shared" si="2"/>
        <v>0</v>
      </c>
      <c r="Q37" s="33">
        <f t="shared" si="2"/>
        <v>0</v>
      </c>
      <c r="R37" s="33">
        <f t="shared" si="2"/>
        <v>0</v>
      </c>
      <c r="S37" s="33">
        <f t="shared" si="2"/>
        <v>0</v>
      </c>
      <c r="T37" s="33">
        <f t="shared" si="2"/>
        <v>0</v>
      </c>
      <c r="U37" s="33">
        <f t="shared" si="2"/>
        <v>0</v>
      </c>
      <c r="V37" s="33">
        <f t="shared" si="2"/>
        <v>0</v>
      </c>
      <c r="W37" s="33">
        <f t="shared" si="2"/>
        <v>0</v>
      </c>
    </row>
    <row r="38" spans="1:29" x14ac:dyDescent="0.35">
      <c r="A38" s="44">
        <v>0</v>
      </c>
      <c r="B38" s="33" t="s">
        <v>240</v>
      </c>
      <c r="C38" s="33">
        <v>0</v>
      </c>
      <c r="D38" s="33"/>
      <c r="E38" s="33"/>
      <c r="F38" s="33"/>
      <c r="G38" s="33"/>
      <c r="H38" s="33">
        <f t="shared" si="2"/>
        <v>0</v>
      </c>
      <c r="I38" s="33">
        <f t="shared" si="2"/>
        <v>0</v>
      </c>
      <c r="J38" s="33">
        <f t="shared" si="2"/>
        <v>0</v>
      </c>
      <c r="K38" s="33">
        <f t="shared" si="2"/>
        <v>0</v>
      </c>
      <c r="L38" s="33">
        <f t="shared" si="2"/>
        <v>0</v>
      </c>
      <c r="M38" s="33">
        <f t="shared" si="2"/>
        <v>0</v>
      </c>
      <c r="N38" s="33">
        <f t="shared" si="2"/>
        <v>0</v>
      </c>
      <c r="O38" s="33">
        <f t="shared" si="2"/>
        <v>0</v>
      </c>
      <c r="P38" s="33">
        <f t="shared" si="2"/>
        <v>0</v>
      </c>
      <c r="Q38" s="33">
        <f t="shared" si="2"/>
        <v>0</v>
      </c>
      <c r="R38" s="33">
        <f t="shared" si="2"/>
        <v>0</v>
      </c>
      <c r="S38" s="33">
        <f t="shared" si="2"/>
        <v>0</v>
      </c>
      <c r="T38" s="33">
        <f t="shared" si="2"/>
        <v>0</v>
      </c>
      <c r="U38" s="33">
        <f t="shared" si="2"/>
        <v>0</v>
      </c>
      <c r="V38" s="33">
        <f t="shared" si="2"/>
        <v>0</v>
      </c>
      <c r="W38" s="33">
        <f t="shared" si="2"/>
        <v>0</v>
      </c>
    </row>
    <row r="39" spans="1:29" x14ac:dyDescent="0.35">
      <c r="C39" s="33">
        <f>SUM(C29:C38)</f>
        <v>726.7189037073806</v>
      </c>
      <c r="D39" s="33"/>
      <c r="E39" s="33"/>
      <c r="F39" s="33"/>
      <c r="G39" s="33"/>
      <c r="H39" s="33">
        <f t="shared" ref="H39:W39" si="5">SUM(H29:H38)</f>
        <v>855.11312988071791</v>
      </c>
      <c r="I39" s="33" t="e">
        <f t="shared" si="5"/>
        <v>#DIV/0!</v>
      </c>
      <c r="J39" s="33" t="e">
        <f t="shared" si="5"/>
        <v>#DIV/0!</v>
      </c>
      <c r="K39" s="33" t="e">
        <f t="shared" si="5"/>
        <v>#DIV/0!</v>
      </c>
      <c r="L39" s="33" t="e">
        <f t="shared" si="5"/>
        <v>#DIV/0!</v>
      </c>
      <c r="M39" s="33">
        <f t="shared" si="5"/>
        <v>1312.974866676898</v>
      </c>
      <c r="N39" s="33">
        <f t="shared" si="5"/>
        <v>1310.1716194460826</v>
      </c>
      <c r="O39" s="33">
        <f t="shared" si="5"/>
        <v>1307.1346535153377</v>
      </c>
      <c r="P39" s="33">
        <f t="shared" si="5"/>
        <v>1275.7693474453015</v>
      </c>
      <c r="Q39" s="33">
        <f t="shared" si="5"/>
        <v>1216.090088573992</v>
      </c>
      <c r="R39" s="33">
        <f t="shared" si="5"/>
        <v>1169.6304201567261</v>
      </c>
      <c r="S39" s="33">
        <f t="shared" si="5"/>
        <v>1130.5946619099414</v>
      </c>
      <c r="T39" s="33">
        <f t="shared" si="5"/>
        <v>1097.3465493769547</v>
      </c>
      <c r="U39" s="33">
        <f t="shared" si="5"/>
        <v>1085.0248801199987</v>
      </c>
      <c r="V39" s="33">
        <f t="shared" si="5"/>
        <v>1082.0180216372196</v>
      </c>
      <c r="W39" s="33">
        <f t="shared" si="5"/>
        <v>1088.0687796549478</v>
      </c>
    </row>
    <row r="40" spans="1:29" x14ac:dyDescent="0.35"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9" x14ac:dyDescent="0.35"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9" x14ac:dyDescent="0.35">
      <c r="C42" s="30">
        <v>2005</v>
      </c>
      <c r="D42" s="30">
        <v>2006</v>
      </c>
      <c r="E42" s="30">
        <v>2007</v>
      </c>
      <c r="F42" s="30">
        <v>2008</v>
      </c>
      <c r="G42" s="30">
        <v>2009</v>
      </c>
      <c r="H42" s="30">
        <v>2010</v>
      </c>
      <c r="I42" s="30">
        <v>2011</v>
      </c>
      <c r="J42" s="30">
        <v>2012</v>
      </c>
      <c r="K42" s="30">
        <v>2013</v>
      </c>
      <c r="L42" s="30">
        <v>2014</v>
      </c>
      <c r="M42" s="30">
        <v>2015</v>
      </c>
      <c r="N42" s="30">
        <v>2016</v>
      </c>
      <c r="O42" s="30">
        <v>2017</v>
      </c>
      <c r="P42" s="30">
        <v>2020</v>
      </c>
      <c r="Q42" s="30">
        <v>2025</v>
      </c>
      <c r="R42" s="30">
        <v>2030</v>
      </c>
      <c r="S42" s="30">
        <v>2035</v>
      </c>
      <c r="T42" s="30">
        <v>2040</v>
      </c>
      <c r="U42" s="30">
        <v>2045</v>
      </c>
      <c r="V42" s="30">
        <v>2050</v>
      </c>
      <c r="W42" s="30">
        <v>2055</v>
      </c>
      <c r="Z42">
        <f>OsebnaVozila!C5</f>
        <v>2040</v>
      </c>
      <c r="AB42">
        <f>OsebnaVozila!C5</f>
        <v>2040</v>
      </c>
    </row>
    <row r="43" spans="1:29" x14ac:dyDescent="0.35">
      <c r="B43" s="30" t="s">
        <v>245</v>
      </c>
      <c r="C43" s="33">
        <f>C29</f>
        <v>189.14163237939786</v>
      </c>
      <c r="D43" s="33"/>
      <c r="E43" s="33"/>
      <c r="F43" s="33"/>
      <c r="G43" s="33"/>
      <c r="H43" s="33">
        <f t="shared" ref="H43:W43" si="6">H29</f>
        <v>185.66544682260371</v>
      </c>
      <c r="I43" s="33">
        <f t="shared" si="6"/>
        <v>184.85460347993319</v>
      </c>
      <c r="J43" s="33">
        <f t="shared" si="6"/>
        <v>184.03078205661146</v>
      </c>
      <c r="K43" s="33">
        <f t="shared" si="6"/>
        <v>183.18571606587957</v>
      </c>
      <c r="L43" s="33">
        <f t="shared" si="6"/>
        <v>182.31471585537787</v>
      </c>
      <c r="M43" s="33">
        <f t="shared" si="6"/>
        <v>181.33489140312099</v>
      </c>
      <c r="N43" s="33">
        <f t="shared" si="6"/>
        <v>180.23443140027155</v>
      </c>
      <c r="O43" s="33">
        <f t="shared" si="6"/>
        <v>178.88597524274755</v>
      </c>
      <c r="P43" s="33">
        <f t="shared" si="6"/>
        <v>172.70719806368481</v>
      </c>
      <c r="Q43" s="33">
        <f t="shared" si="6"/>
        <v>161.37977785666178</v>
      </c>
      <c r="R43" s="33">
        <f t="shared" si="6"/>
        <v>153.91334399925032</v>
      </c>
      <c r="S43" s="33">
        <f t="shared" si="6"/>
        <v>150.6175559062836</v>
      </c>
      <c r="T43" s="33">
        <f t="shared" si="6"/>
        <v>148.97282626085752</v>
      </c>
      <c r="U43" s="33">
        <f t="shared" si="6"/>
        <v>152.53501233320748</v>
      </c>
      <c r="V43" s="33">
        <f t="shared" si="6"/>
        <v>156.02801373189371</v>
      </c>
      <c r="W43" s="33">
        <f t="shared" si="6"/>
        <v>153.50779326995701</v>
      </c>
      <c r="Y43" s="30" t="s">
        <v>245</v>
      </c>
      <c r="Z43" s="43">
        <f t="shared" ref="Z43:Z49" si="7">HLOOKUP(Z42,P42:W43,2,0)</f>
        <v>148.97282626085752</v>
      </c>
      <c r="AA43" s="43">
        <f t="shared" ref="AA43:AA49" si="8">$AB$50</f>
        <v>57.595131628735331</v>
      </c>
      <c r="AB43" s="42">
        <f t="shared" ref="AB43:AB49" si="9">HLOOKUP(AB42,P52:W53,2,0)</f>
        <v>0.10616543422292789</v>
      </c>
      <c r="AC43">
        <f>Z43*AB43*OsebnaVozila!$C$7*OsebnaVozila!$C$8/1000000</f>
        <v>63975.69094043837</v>
      </c>
    </row>
    <row r="44" spans="1:29" x14ac:dyDescent="0.35">
      <c r="B44" s="30" t="s">
        <v>246</v>
      </c>
      <c r="C44" s="33">
        <f>C32</f>
        <v>183.83006844387594</v>
      </c>
      <c r="D44" s="33"/>
      <c r="E44" s="33"/>
      <c r="F44" s="33"/>
      <c r="G44" s="33"/>
      <c r="H44" s="33">
        <f t="shared" ref="H44:W44" si="10">H32</f>
        <v>180.88681152418565</v>
      </c>
      <c r="I44" s="33">
        <f t="shared" si="10"/>
        <v>180.24244212202942</v>
      </c>
      <c r="J44" s="33">
        <f t="shared" si="10"/>
        <v>179.47457144432445</v>
      </c>
      <c r="K44" s="33">
        <f t="shared" si="10"/>
        <v>178.51683570175615</v>
      </c>
      <c r="L44" s="33">
        <f t="shared" si="10"/>
        <v>177.44790651876249</v>
      </c>
      <c r="M44" s="33">
        <f t="shared" si="10"/>
        <v>176.33917411443176</v>
      </c>
      <c r="N44" s="33">
        <f t="shared" si="10"/>
        <v>175.19631781006268</v>
      </c>
      <c r="O44" s="33">
        <f t="shared" si="10"/>
        <v>174.15918811637403</v>
      </c>
      <c r="P44" s="33">
        <f t="shared" si="10"/>
        <v>171.45762700246974</v>
      </c>
      <c r="Q44" s="33">
        <f t="shared" si="10"/>
        <v>167.13366862214806</v>
      </c>
      <c r="R44" s="33">
        <f t="shared" si="10"/>
        <v>163.74097143828646</v>
      </c>
      <c r="S44" s="33">
        <f t="shared" si="10"/>
        <v>162.15995269293674</v>
      </c>
      <c r="T44" s="33">
        <f t="shared" si="10"/>
        <v>160.28484162930241</v>
      </c>
      <c r="U44" s="33">
        <f t="shared" si="10"/>
        <v>163.0113547261808</v>
      </c>
      <c r="V44" s="33">
        <f t="shared" si="10"/>
        <v>165.29439285698092</v>
      </c>
      <c r="W44" s="33">
        <f t="shared" si="10"/>
        <v>164.88593054434611</v>
      </c>
      <c r="Y44" s="30" t="s">
        <v>246</v>
      </c>
      <c r="Z44" s="43">
        <f t="shared" si="7"/>
        <v>160.28484162930241</v>
      </c>
      <c r="AA44" s="43">
        <f t="shared" si="8"/>
        <v>57.595131628735331</v>
      </c>
      <c r="AB44" s="42">
        <f t="shared" si="9"/>
        <v>8.7560963267061809E-2</v>
      </c>
      <c r="AC44">
        <f>Z44*AB44*OsebnaVozila!$C$7*OsebnaVozila!$C$8/1000000</f>
        <v>56771.160304958321</v>
      </c>
    </row>
    <row r="45" spans="1:29" x14ac:dyDescent="0.35">
      <c r="B45" s="30" t="s">
        <v>247</v>
      </c>
      <c r="C45" s="33">
        <f>AVERAGE(C35,C36)</f>
        <v>210.54762226333588</v>
      </c>
      <c r="D45" s="33"/>
      <c r="E45" s="33"/>
      <c r="F45" s="33"/>
      <c r="G45" s="33"/>
      <c r="H45" s="33">
        <f t="shared" ref="H45:W45" si="11">AVERAGE(H35,H36)</f>
        <v>173.00504105689305</v>
      </c>
      <c r="I45" s="33">
        <f t="shared" si="11"/>
        <v>173.00512492977236</v>
      </c>
      <c r="J45" s="33">
        <f t="shared" si="11"/>
        <v>173.00521788910612</v>
      </c>
      <c r="K45" s="33">
        <f t="shared" si="11"/>
        <v>173.00526106270121</v>
      </c>
      <c r="L45" s="33">
        <f t="shared" si="11"/>
        <v>173.00528385158606</v>
      </c>
      <c r="M45" s="33">
        <f t="shared" si="11"/>
        <v>173.00529728868918</v>
      </c>
      <c r="N45" s="33">
        <f t="shared" si="11"/>
        <v>173.00530443612826</v>
      </c>
      <c r="O45" s="33">
        <f t="shared" si="11"/>
        <v>173.00530896840615</v>
      </c>
      <c r="P45" s="33">
        <f t="shared" si="11"/>
        <v>171.90441732062169</v>
      </c>
      <c r="Q45" s="33">
        <f t="shared" si="11"/>
        <v>168.30699379570524</v>
      </c>
      <c r="R45" s="33">
        <f t="shared" si="11"/>
        <v>162.38414013601883</v>
      </c>
      <c r="S45" s="33">
        <f t="shared" si="11"/>
        <v>154.2290360296754</v>
      </c>
      <c r="T45" s="33">
        <f t="shared" si="11"/>
        <v>146.52301574431905</v>
      </c>
      <c r="U45" s="33">
        <f t="shared" si="11"/>
        <v>142.41391188604047</v>
      </c>
      <c r="V45" s="33">
        <f t="shared" si="11"/>
        <v>141.91266698432364</v>
      </c>
      <c r="W45" s="33">
        <f t="shared" si="11"/>
        <v>146.35153527271609</v>
      </c>
      <c r="Y45" s="30" t="s">
        <v>247</v>
      </c>
      <c r="Z45" s="43">
        <f t="shared" si="7"/>
        <v>146.52301574431905</v>
      </c>
      <c r="AA45" s="43">
        <f t="shared" si="8"/>
        <v>57.595131628735331</v>
      </c>
      <c r="AB45" s="42">
        <f t="shared" si="9"/>
        <v>5.2028313523566141E-3</v>
      </c>
      <c r="AC45">
        <f>Z45*AB45*OsebnaVozila!$C$7*OsebnaVozila!$C$8/1000000</f>
        <v>3083.6876742829595</v>
      </c>
    </row>
    <row r="46" spans="1:29" x14ac:dyDescent="0.35">
      <c r="B46" s="30" t="s">
        <v>248</v>
      </c>
      <c r="C46" s="33">
        <f>AVERAGE(C30,C33)</f>
        <v>143.19958062077103</v>
      </c>
      <c r="D46" s="33"/>
      <c r="E46" s="33"/>
      <c r="F46" s="33"/>
      <c r="G46" s="33"/>
      <c r="H46" s="33">
        <f t="shared" ref="H46:W46" si="12">AVERAGE(H30,H33)</f>
        <v>142.55078942014251</v>
      </c>
      <c r="I46" s="33" t="e">
        <f t="shared" si="12"/>
        <v>#DIV/0!</v>
      </c>
      <c r="J46" s="33">
        <f t="shared" si="12"/>
        <v>157.93134091925563</v>
      </c>
      <c r="K46" s="33">
        <f t="shared" si="12"/>
        <v>157.02674432482044</v>
      </c>
      <c r="L46" s="33">
        <f t="shared" si="12"/>
        <v>156.24762774566625</v>
      </c>
      <c r="M46" s="33">
        <f t="shared" si="12"/>
        <v>155.78011492722567</v>
      </c>
      <c r="N46" s="33">
        <f t="shared" si="12"/>
        <v>156.25371917477042</v>
      </c>
      <c r="O46" s="33">
        <f t="shared" si="12"/>
        <v>156.62853849111625</v>
      </c>
      <c r="P46" s="33">
        <f t="shared" si="12"/>
        <v>154.06729577296198</v>
      </c>
      <c r="Q46" s="33">
        <f t="shared" si="12"/>
        <v>145.99186794753655</v>
      </c>
      <c r="R46" s="33">
        <f t="shared" si="12"/>
        <v>139.06495690611135</v>
      </c>
      <c r="S46" s="33">
        <f t="shared" si="12"/>
        <v>133.36952841779205</v>
      </c>
      <c r="T46" s="33">
        <f t="shared" si="12"/>
        <v>128.60476984040548</v>
      </c>
      <c r="U46" s="33">
        <f t="shared" si="12"/>
        <v>124.84201043925994</v>
      </c>
      <c r="V46" s="33">
        <f t="shared" si="12"/>
        <v>121.86625745713793</v>
      </c>
      <c r="W46" s="33">
        <f t="shared" si="12"/>
        <v>122.66621473323796</v>
      </c>
      <c r="Y46" s="30" t="s">
        <v>248</v>
      </c>
      <c r="Z46" s="43">
        <f t="shared" si="7"/>
        <v>128.60476984040548</v>
      </c>
      <c r="AA46" s="43">
        <f t="shared" si="8"/>
        <v>57.595131628735331</v>
      </c>
      <c r="AB46" s="42">
        <f t="shared" si="9"/>
        <v>7.3539411842846028E-2</v>
      </c>
      <c r="AC46">
        <f>Z46*AB46*OsebnaVozila!$C$7*OsebnaVozila!$C$8/1000000</f>
        <v>38256.216460549083</v>
      </c>
    </row>
    <row r="47" spans="1:29" x14ac:dyDescent="0.35">
      <c r="B47" s="30" t="s">
        <v>249</v>
      </c>
      <c r="C47" s="33"/>
      <c r="D47" s="33"/>
      <c r="E47" s="33"/>
      <c r="F47" s="33"/>
      <c r="G47" s="33"/>
      <c r="H47" s="33"/>
      <c r="I47" s="33" t="e">
        <f t="shared" ref="I47:W47" si="13">AVERAGE(I31,I34)</f>
        <v>#DIV/0!</v>
      </c>
      <c r="J47" s="33" t="e">
        <f t="shared" si="13"/>
        <v>#DIV/0!</v>
      </c>
      <c r="K47" s="33" t="e">
        <f t="shared" si="13"/>
        <v>#DIV/0!</v>
      </c>
      <c r="L47" s="33" t="e">
        <f t="shared" si="13"/>
        <v>#DIV/0!</v>
      </c>
      <c r="M47" s="33">
        <f t="shared" si="13"/>
        <v>148.86498836375773</v>
      </c>
      <c r="N47" s="33">
        <f t="shared" si="13"/>
        <v>148.11141150697546</v>
      </c>
      <c r="O47" s="33">
        <f t="shared" si="13"/>
        <v>147.41089761858564</v>
      </c>
      <c r="P47" s="33">
        <f t="shared" si="13"/>
        <v>139.83054809598971</v>
      </c>
      <c r="Q47" s="33">
        <f t="shared" si="13"/>
        <v>129.48945930434937</v>
      </c>
      <c r="R47" s="33">
        <f t="shared" si="13"/>
        <v>124.53895531746451</v>
      </c>
      <c r="S47" s="33">
        <f t="shared" si="13"/>
        <v>121.31001220789302</v>
      </c>
      <c r="T47" s="33">
        <f t="shared" si="13"/>
        <v>118.9166551586728</v>
      </c>
      <c r="U47" s="33">
        <f t="shared" si="13"/>
        <v>117.48333420500472</v>
      </c>
      <c r="V47" s="33">
        <f t="shared" si="13"/>
        <v>116.5688830827109</v>
      </c>
      <c r="W47" s="33">
        <f t="shared" si="13"/>
        <v>115.81977791436827</v>
      </c>
      <c r="Y47" s="30" t="s">
        <v>249</v>
      </c>
      <c r="Z47" s="43">
        <f t="shared" si="7"/>
        <v>118.9166551586728</v>
      </c>
      <c r="AA47" s="43">
        <f t="shared" si="8"/>
        <v>57.595131628735331</v>
      </c>
      <c r="AB47" s="42">
        <f t="shared" si="9"/>
        <v>0.14737059340742756</v>
      </c>
      <c r="AC47">
        <f>Z47*AB47*OsebnaVozila!$C$7*OsebnaVozila!$C$8/1000000</f>
        <v>70888.911006082271</v>
      </c>
    </row>
    <row r="48" spans="1:29" x14ac:dyDescent="0.35">
      <c r="B48" s="30" t="s">
        <v>250</v>
      </c>
      <c r="C48" s="33">
        <f t="shared" ref="C48:C49" si="14">C37</f>
        <v>0</v>
      </c>
      <c r="D48" s="33"/>
      <c r="E48" s="33"/>
      <c r="F48" s="33"/>
      <c r="G48" s="33"/>
      <c r="H48" s="33">
        <f t="shared" ref="H48:W49" si="15">H37</f>
        <v>0</v>
      </c>
      <c r="I48" s="33">
        <f t="shared" si="15"/>
        <v>0</v>
      </c>
      <c r="J48" s="33">
        <f t="shared" si="15"/>
        <v>0</v>
      </c>
      <c r="K48" s="33">
        <f t="shared" si="15"/>
        <v>0</v>
      </c>
      <c r="L48" s="33">
        <f t="shared" si="15"/>
        <v>0</v>
      </c>
      <c r="M48" s="33">
        <f t="shared" si="15"/>
        <v>0</v>
      </c>
      <c r="N48" s="33">
        <f t="shared" si="15"/>
        <v>0</v>
      </c>
      <c r="O48" s="33">
        <f t="shared" si="15"/>
        <v>0</v>
      </c>
      <c r="P48" s="33">
        <f t="shared" si="15"/>
        <v>0</v>
      </c>
      <c r="Q48" s="33">
        <f t="shared" si="15"/>
        <v>0</v>
      </c>
      <c r="R48" s="33">
        <f t="shared" si="15"/>
        <v>0</v>
      </c>
      <c r="S48" s="33">
        <f t="shared" si="15"/>
        <v>0</v>
      </c>
      <c r="T48" s="33">
        <f t="shared" si="15"/>
        <v>0</v>
      </c>
      <c r="U48" s="33">
        <f t="shared" si="15"/>
        <v>0</v>
      </c>
      <c r="V48" s="33">
        <f t="shared" si="15"/>
        <v>0</v>
      </c>
      <c r="W48" s="33">
        <f t="shared" si="15"/>
        <v>0</v>
      </c>
      <c r="Y48" s="30" t="s">
        <v>250</v>
      </c>
      <c r="Z48" s="43">
        <f t="shared" si="7"/>
        <v>0</v>
      </c>
      <c r="AA48" s="43">
        <f t="shared" si="8"/>
        <v>57.595131628735331</v>
      </c>
      <c r="AB48" s="42">
        <f t="shared" si="9"/>
        <v>0.55404144553315582</v>
      </c>
      <c r="AC48">
        <f>Z48*AB48*OsebnaVozila!$C$7*OsebnaVozila!$C$8/1000000</f>
        <v>0</v>
      </c>
    </row>
    <row r="49" spans="2:29" x14ac:dyDescent="0.35">
      <c r="B49" s="30" t="s">
        <v>251</v>
      </c>
      <c r="C49" s="33">
        <f t="shared" si="14"/>
        <v>0</v>
      </c>
      <c r="D49" s="33"/>
      <c r="E49" s="33"/>
      <c r="F49" s="33"/>
      <c r="G49" s="33"/>
      <c r="H49" s="33">
        <f t="shared" si="15"/>
        <v>0</v>
      </c>
      <c r="I49" s="33">
        <f t="shared" si="15"/>
        <v>0</v>
      </c>
      <c r="J49" s="33">
        <f t="shared" si="15"/>
        <v>0</v>
      </c>
      <c r="K49" s="33">
        <f t="shared" si="15"/>
        <v>0</v>
      </c>
      <c r="L49" s="33">
        <f t="shared" si="15"/>
        <v>0</v>
      </c>
      <c r="M49" s="33">
        <f t="shared" si="15"/>
        <v>0</v>
      </c>
      <c r="N49" s="33">
        <f t="shared" si="15"/>
        <v>0</v>
      </c>
      <c r="O49" s="33">
        <f t="shared" si="15"/>
        <v>0</v>
      </c>
      <c r="P49" s="33">
        <f t="shared" si="15"/>
        <v>0</v>
      </c>
      <c r="Q49" s="33">
        <f t="shared" si="15"/>
        <v>0</v>
      </c>
      <c r="R49" s="33">
        <f t="shared" si="15"/>
        <v>0</v>
      </c>
      <c r="S49" s="33">
        <f t="shared" si="15"/>
        <v>0</v>
      </c>
      <c r="T49" s="33">
        <f t="shared" si="15"/>
        <v>0</v>
      </c>
      <c r="U49" s="33">
        <f t="shared" si="15"/>
        <v>0</v>
      </c>
      <c r="V49" s="33">
        <f t="shared" si="15"/>
        <v>0</v>
      </c>
      <c r="W49" s="33">
        <f t="shared" si="15"/>
        <v>0</v>
      </c>
      <c r="Y49" s="30" t="s">
        <v>251</v>
      </c>
      <c r="Z49" s="43">
        <f t="shared" si="7"/>
        <v>0</v>
      </c>
      <c r="AA49" s="43">
        <f t="shared" si="8"/>
        <v>57.595131628735331</v>
      </c>
      <c r="AB49" s="42">
        <f t="shared" si="9"/>
        <v>2.611932037422432E-2</v>
      </c>
      <c r="AC49">
        <f>Z49*AB49*OsebnaVozila!$C$7*OsebnaVozila!$C$8/1000000</f>
        <v>0</v>
      </c>
    </row>
    <row r="50" spans="2:29" x14ac:dyDescent="0.35">
      <c r="AB50" s="43">
        <f>SUMPRODUCT(Z43:Z49,AB43:AB49)</f>
        <v>57.595131628735331</v>
      </c>
      <c r="AC50">
        <f>SUM(AC43:AC49)</f>
        <v>232975.666386311</v>
      </c>
    </row>
    <row r="51" spans="2:29" x14ac:dyDescent="0.35">
      <c r="B51" t="s">
        <v>256</v>
      </c>
    </row>
    <row r="52" spans="2:29" x14ac:dyDescent="0.35">
      <c r="C52" s="30">
        <v>2005</v>
      </c>
      <c r="D52" s="30">
        <v>2006</v>
      </c>
      <c r="E52" s="30">
        <v>2007</v>
      </c>
      <c r="F52" s="30">
        <v>2008</v>
      </c>
      <c r="G52" s="30">
        <v>2009</v>
      </c>
      <c r="H52" s="30">
        <v>2010</v>
      </c>
      <c r="I52" s="30">
        <v>2011</v>
      </c>
      <c r="J52" s="30">
        <v>2012</v>
      </c>
      <c r="K52" s="30">
        <v>2013</v>
      </c>
      <c r="L52" s="30">
        <v>2014</v>
      </c>
      <c r="M52" s="30">
        <v>2015</v>
      </c>
      <c r="N52" s="30">
        <v>2016</v>
      </c>
      <c r="O52" s="30">
        <v>2017</v>
      </c>
      <c r="P52" s="30">
        <v>2020</v>
      </c>
      <c r="Q52" s="30">
        <v>2025</v>
      </c>
      <c r="R52" s="30">
        <v>2030</v>
      </c>
      <c r="S52" s="30">
        <v>2035</v>
      </c>
      <c r="T52" s="30">
        <v>2040</v>
      </c>
      <c r="U52" s="30">
        <v>2045</v>
      </c>
      <c r="V52" s="30">
        <v>2050</v>
      </c>
      <c r="W52" s="30">
        <v>2055</v>
      </c>
    </row>
    <row r="53" spans="2:29" x14ac:dyDescent="0.35">
      <c r="B53" s="30" t="s">
        <v>245</v>
      </c>
      <c r="C53" s="36">
        <v>0.79499522159518632</v>
      </c>
      <c r="H53" s="36">
        <v>0.65039540802192564</v>
      </c>
      <c r="I53" s="36">
        <v>0.63254063433632335</v>
      </c>
      <c r="J53" s="36">
        <v>0.61129979429079517</v>
      </c>
      <c r="K53" s="36">
        <v>0.59035367850672704</v>
      </c>
      <c r="L53" s="36">
        <v>0.57002234808282881</v>
      </c>
      <c r="M53" s="36">
        <v>0.55070744628779211</v>
      </c>
      <c r="N53" s="36">
        <v>0.53194449706057589</v>
      </c>
      <c r="O53" s="36">
        <v>0.51455828963629169</v>
      </c>
      <c r="P53" s="36">
        <v>0.46708529947809441</v>
      </c>
      <c r="Q53" s="36">
        <v>0.41449548901688471</v>
      </c>
      <c r="R53" s="36">
        <v>0.33301338598752511</v>
      </c>
      <c r="S53" s="36">
        <v>0.2217324223054882</v>
      </c>
      <c r="T53" s="36">
        <v>0.10616543422292789</v>
      </c>
      <c r="U53" s="36">
        <v>2.960822839791967E-2</v>
      </c>
      <c r="V53" s="36">
        <v>9.7093752483492328E-3</v>
      </c>
      <c r="W53" s="36">
        <v>3.8287284576831253E-3</v>
      </c>
    </row>
    <row r="54" spans="2:29" x14ac:dyDescent="0.35">
      <c r="B54" s="30" t="s">
        <v>246</v>
      </c>
      <c r="C54" s="36">
        <v>0.20463425181926417</v>
      </c>
      <c r="H54" s="36">
        <v>0.34706334285070528</v>
      </c>
      <c r="I54" s="36">
        <v>0.3643233229775823</v>
      </c>
      <c r="J54" s="36">
        <v>0.38391459697212083</v>
      </c>
      <c r="K54" s="36">
        <v>0.40336541338657644</v>
      </c>
      <c r="L54" s="36">
        <v>0.42221189499361678</v>
      </c>
      <c r="M54" s="36">
        <v>0.44013098538011952</v>
      </c>
      <c r="N54" s="36">
        <v>0.45762545503387142</v>
      </c>
      <c r="O54" s="36">
        <v>0.47343412310140642</v>
      </c>
      <c r="P54" s="36">
        <v>0.51121110373941703</v>
      </c>
      <c r="Q54" s="36">
        <v>0.50446183150980872</v>
      </c>
      <c r="R54" s="36">
        <v>0.41559865195518297</v>
      </c>
      <c r="S54" s="36">
        <v>0.27839866361959559</v>
      </c>
      <c r="T54" s="36">
        <v>8.7560963267061809E-2</v>
      </c>
      <c r="U54" s="36">
        <v>2.8068757576699511E-2</v>
      </c>
      <c r="V54" s="36">
        <v>1.1331635632370574E-2</v>
      </c>
      <c r="W54" s="36">
        <v>4.820683918516898E-3</v>
      </c>
    </row>
    <row r="55" spans="2:29" x14ac:dyDescent="0.35">
      <c r="B55" s="30" t="s">
        <v>247</v>
      </c>
      <c r="C55" s="36">
        <v>2.9364498854784544E-4</v>
      </c>
      <c r="H55" s="36">
        <v>2.0638414969730325E-3</v>
      </c>
      <c r="I55" s="36">
        <v>2.5808449449978609E-3</v>
      </c>
      <c r="J55" s="36">
        <v>4.1078069285192401E-3</v>
      </c>
      <c r="K55" s="36">
        <v>5.4539717427139834E-3</v>
      </c>
      <c r="L55" s="36">
        <v>6.6793045628307695E-3</v>
      </c>
      <c r="M55" s="36">
        <v>7.740766774233662E-3</v>
      </c>
      <c r="N55" s="36">
        <v>8.4136064167955292E-3</v>
      </c>
      <c r="O55" s="36">
        <v>8.8105284559988149E-3</v>
      </c>
      <c r="P55" s="36">
        <v>9.0498335153813766E-3</v>
      </c>
      <c r="Q55" s="36">
        <v>8.922150662525833E-3</v>
      </c>
      <c r="R55" s="36">
        <v>8.8404498764393814E-3</v>
      </c>
      <c r="S55" s="36">
        <v>7.7406432104064433E-3</v>
      </c>
      <c r="T55" s="36">
        <v>5.2028313523566141E-3</v>
      </c>
      <c r="U55" s="36">
        <v>2.8515384074247973E-3</v>
      </c>
      <c r="V55" s="36">
        <v>1.5825245066704444E-3</v>
      </c>
      <c r="W55" s="36">
        <v>9.379652650872857E-4</v>
      </c>
    </row>
    <row r="56" spans="2:29" x14ac:dyDescent="0.35">
      <c r="B56" s="30" t="s">
        <v>248</v>
      </c>
      <c r="C56" s="36">
        <v>7.6881597001617722E-5</v>
      </c>
      <c r="H56" s="36">
        <v>4.7094369729585976E-4</v>
      </c>
      <c r="I56" s="36">
        <v>5.34125879635695E-4</v>
      </c>
      <c r="J56" s="36">
        <v>6.3225061175257319E-4</v>
      </c>
      <c r="K56" s="36">
        <v>7.5983845725591324E-4</v>
      </c>
      <c r="L56" s="36">
        <v>9.6892530931594768E-4</v>
      </c>
      <c r="M56" s="36">
        <v>1.1474008856417904E-3</v>
      </c>
      <c r="N56" s="36">
        <v>1.5411743231747846E-3</v>
      </c>
      <c r="O56" s="36">
        <v>2.304292057722767E-3</v>
      </c>
      <c r="P56" s="36">
        <v>8.8462918911192141E-3</v>
      </c>
      <c r="Q56" s="36">
        <v>4.0602250841059589E-2</v>
      </c>
      <c r="R56" s="36">
        <v>7.4597247233979022E-2</v>
      </c>
      <c r="S56" s="36">
        <v>8.7135405186981124E-2</v>
      </c>
      <c r="T56" s="36">
        <v>7.3539411842846028E-2</v>
      </c>
      <c r="U56" s="36">
        <v>4.5757130073014435E-2</v>
      </c>
      <c r="V56" s="36">
        <v>2.3238577662908461E-2</v>
      </c>
      <c r="W56" s="36">
        <v>1.1047858190632975E-2</v>
      </c>
    </row>
    <row r="57" spans="2:29" x14ac:dyDescent="0.35">
      <c r="B57" s="30" t="s">
        <v>249</v>
      </c>
      <c r="C57" s="36">
        <v>0</v>
      </c>
      <c r="H57" s="36">
        <v>0</v>
      </c>
      <c r="I57" s="36">
        <v>0</v>
      </c>
      <c r="J57" s="36">
        <v>9.1102393624290077E-6</v>
      </c>
      <c r="K57" s="36">
        <v>1.9948026324140919E-5</v>
      </c>
      <c r="L57" s="36">
        <v>2.6914591925442991E-5</v>
      </c>
      <c r="M57" s="36">
        <v>5.8207885051774151E-5</v>
      </c>
      <c r="N57" s="36">
        <v>1.1537282642760958E-4</v>
      </c>
      <c r="O57" s="36">
        <v>2.6105269499255749E-4</v>
      </c>
      <c r="P57" s="36">
        <v>1.2880611184223816E-3</v>
      </c>
      <c r="Q57" s="36">
        <v>1.4940575708974101E-2</v>
      </c>
      <c r="R57" s="36">
        <v>5.7925705179185751E-2</v>
      </c>
      <c r="S57" s="36">
        <v>0.11081284874076308</v>
      </c>
      <c r="T57" s="36">
        <v>0.14737059340742756</v>
      </c>
      <c r="U57" s="36">
        <v>0.12897689812171473</v>
      </c>
      <c r="V57" s="36">
        <v>8.5946111239724815E-2</v>
      </c>
      <c r="W57" s="36">
        <v>4.3310202957381604E-2</v>
      </c>
    </row>
    <row r="58" spans="2:29" x14ac:dyDescent="0.35">
      <c r="B58" s="30" t="s">
        <v>250</v>
      </c>
      <c r="C58" s="36">
        <v>0</v>
      </c>
      <c r="H58" s="36">
        <v>6.4639331001392516E-6</v>
      </c>
      <c r="I58" s="36">
        <v>2.1071861460756407E-5</v>
      </c>
      <c r="J58" s="36">
        <v>3.6440957449716031E-5</v>
      </c>
      <c r="K58" s="36">
        <v>4.7149880402514901E-5</v>
      </c>
      <c r="L58" s="36">
        <v>9.0612459482324739E-5</v>
      </c>
      <c r="M58" s="36">
        <v>2.1519278716110443E-4</v>
      </c>
      <c r="N58" s="36">
        <v>3.5989433915478209E-4</v>
      </c>
      <c r="O58" s="36">
        <v>6.3171405358775936E-4</v>
      </c>
      <c r="P58" s="36">
        <v>2.5194102575656109E-3</v>
      </c>
      <c r="Q58" s="36">
        <v>1.6577702260747E-2</v>
      </c>
      <c r="R58" s="36">
        <v>0.10713589230267628</v>
      </c>
      <c r="S58" s="36">
        <v>0.28349052043819045</v>
      </c>
      <c r="T58" s="36">
        <v>0.55404144553315582</v>
      </c>
      <c r="U58" s="36">
        <v>0.71573941225261717</v>
      </c>
      <c r="V58" s="36">
        <v>0.7820020662656223</v>
      </c>
      <c r="W58" s="36">
        <v>0.80276466405744562</v>
      </c>
    </row>
    <row r="59" spans="2:29" x14ac:dyDescent="0.35">
      <c r="B59" s="30" t="s">
        <v>251</v>
      </c>
      <c r="C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2.8886674650114722E-3</v>
      </c>
      <c r="S59" s="36">
        <v>1.0689496498575068E-2</v>
      </c>
      <c r="T59" s="36">
        <v>2.611932037422432E-2</v>
      </c>
      <c r="U59" s="36">
        <v>4.8998035170609688E-2</v>
      </c>
      <c r="V59" s="36">
        <v>8.6189709444354223E-2</v>
      </c>
      <c r="W59" s="36">
        <v>0.13328989715325254</v>
      </c>
    </row>
    <row r="60" spans="2:29" x14ac:dyDescent="0.35">
      <c r="C60" s="32">
        <f>SUM(C30:C39)</f>
        <v>1264.2961750353634</v>
      </c>
      <c r="H60" s="32">
        <f t="shared" ref="H60:W60" si="16">SUM(H30:H39)</f>
        <v>1524.560812938832</v>
      </c>
      <c r="I60" s="32" t="e">
        <f t="shared" si="16"/>
        <v>#DIV/0!</v>
      </c>
      <c r="J60" s="32" t="e">
        <f t="shared" si="16"/>
        <v>#DIV/0!</v>
      </c>
      <c r="K60" s="32" t="e">
        <f t="shared" si="16"/>
        <v>#DIV/0!</v>
      </c>
      <c r="L60" s="32" t="e">
        <f t="shared" si="16"/>
        <v>#DIV/0!</v>
      </c>
      <c r="M60" s="32">
        <f t="shared" si="16"/>
        <v>2444.6148419506749</v>
      </c>
      <c r="N60" s="32">
        <f t="shared" si="16"/>
        <v>2440.1088074918935</v>
      </c>
      <c r="O60" s="32">
        <f t="shared" si="16"/>
        <v>2435.383331787928</v>
      </c>
      <c r="P60" s="32">
        <f t="shared" si="16"/>
        <v>2378.8314968269178</v>
      </c>
      <c r="Q60" s="32">
        <f t="shared" si="16"/>
        <v>2270.8003992913223</v>
      </c>
      <c r="R60" s="32">
        <f t="shared" si="16"/>
        <v>2185.3474963142016</v>
      </c>
      <c r="S60" s="32">
        <f t="shared" si="16"/>
        <v>2110.5717679135992</v>
      </c>
      <c r="T60" s="32">
        <f t="shared" si="16"/>
        <v>2045.7202724930519</v>
      </c>
      <c r="U60" s="32">
        <f t="shared" si="16"/>
        <v>2017.5147479067896</v>
      </c>
      <c r="V60" s="32">
        <f t="shared" si="16"/>
        <v>2008.0080295425455</v>
      </c>
      <c r="W60" s="32">
        <f t="shared" si="16"/>
        <v>2022.6297660399387</v>
      </c>
    </row>
    <row r="61" spans="2:29" x14ac:dyDescent="0.35">
      <c r="B61" s="33"/>
      <c r="C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2:29" x14ac:dyDescent="0.35">
      <c r="B62" s="33"/>
      <c r="C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2:29" x14ac:dyDescent="0.35">
      <c r="C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6" spans="2:30" x14ac:dyDescent="0.35">
      <c r="C66" s="30">
        <v>2005</v>
      </c>
      <c r="D66" s="30">
        <v>2006</v>
      </c>
      <c r="E66" s="30">
        <v>2007</v>
      </c>
      <c r="F66" s="30">
        <v>2008</v>
      </c>
      <c r="G66" s="30">
        <v>2009</v>
      </c>
      <c r="H66" s="30">
        <v>2010</v>
      </c>
      <c r="I66" s="30">
        <v>2011</v>
      </c>
      <c r="J66" s="30">
        <v>2012</v>
      </c>
      <c r="K66" s="30">
        <v>2013</v>
      </c>
      <c r="L66" s="30">
        <v>2014</v>
      </c>
      <c r="M66" s="30">
        <v>2015</v>
      </c>
      <c r="N66" s="30">
        <v>2016</v>
      </c>
      <c r="O66" s="30">
        <v>2017</v>
      </c>
      <c r="P66" s="30">
        <v>2020</v>
      </c>
      <c r="Q66" s="30">
        <v>2025</v>
      </c>
      <c r="R66" s="30">
        <v>2030</v>
      </c>
      <c r="S66" s="30">
        <v>2035</v>
      </c>
      <c r="T66" s="30">
        <v>2040</v>
      </c>
      <c r="U66" s="30">
        <v>2045</v>
      </c>
      <c r="V66" s="30">
        <v>2050</v>
      </c>
      <c r="W66" s="30">
        <v>2055</v>
      </c>
      <c r="Z66">
        <f>OsebnaVozila!C5</f>
        <v>2040</v>
      </c>
      <c r="AA66" t="s">
        <v>257</v>
      </c>
    </row>
    <row r="67" spans="2:30" x14ac:dyDescent="0.35">
      <c r="B67" s="30" t="s">
        <v>245</v>
      </c>
      <c r="C67" s="36">
        <f>C16</f>
        <v>2.6081322578102504</v>
      </c>
      <c r="H67" s="36">
        <f t="shared" ref="H67:W67" si="17">H16</f>
        <v>2.5601980638903061</v>
      </c>
      <c r="I67" s="36">
        <f t="shared" si="17"/>
        <v>2.5490170951556825</v>
      </c>
      <c r="J67" s="36">
        <f t="shared" si="17"/>
        <v>2.5376571676674256</v>
      </c>
      <c r="K67" s="36">
        <f t="shared" si="17"/>
        <v>2.5260042922920816</v>
      </c>
      <c r="L67" s="36">
        <f t="shared" si="17"/>
        <v>2.513993801968025</v>
      </c>
      <c r="M67" s="36">
        <f t="shared" si="17"/>
        <v>2.500482700637376</v>
      </c>
      <c r="N67" s="36">
        <f t="shared" si="17"/>
        <v>2.4853081185226125</v>
      </c>
      <c r="O67" s="36">
        <f t="shared" si="17"/>
        <v>2.4667138410045535</v>
      </c>
      <c r="P67" s="36">
        <f t="shared" si="17"/>
        <v>2.3815127783309999</v>
      </c>
      <c r="Q67" s="36">
        <f t="shared" si="17"/>
        <v>2.2253154902561696</v>
      </c>
      <c r="R67" s="36">
        <f t="shared" si="17"/>
        <v>2.1223585328198511</v>
      </c>
      <c r="S67" s="36">
        <f t="shared" si="17"/>
        <v>2.07691189512281</v>
      </c>
      <c r="T67" s="36">
        <f t="shared" si="17"/>
        <v>2.0542322111756612</v>
      </c>
      <c r="U67" s="36">
        <f t="shared" si="17"/>
        <v>2.1033522927079082</v>
      </c>
      <c r="V67" s="36">
        <f t="shared" si="17"/>
        <v>2.1515183654539434</v>
      </c>
      <c r="W67" s="36">
        <f t="shared" si="17"/>
        <v>2.1167662688325835</v>
      </c>
      <c r="Y67" s="30" t="s">
        <v>245</v>
      </c>
      <c r="Z67" s="43">
        <f t="shared" ref="Z67:Z73" si="18">HLOOKUP(Z66,P66:W67,2,0)</f>
        <v>2.0542322111756612</v>
      </c>
      <c r="AA67" s="43">
        <f t="shared" ref="AA67:AA73" si="19">$Z$63</f>
        <v>0</v>
      </c>
      <c r="AC67" s="30" t="str">
        <f t="shared" ref="AC67:AC73" si="20">Y67</f>
        <v>bencin</v>
      </c>
      <c r="AD67">
        <f>Z67*'Št. avtomobilov'!AA25*OsebnaVozila!$C$8/1000000</f>
        <v>882.16582423394016</v>
      </c>
    </row>
    <row r="68" spans="2:30" x14ac:dyDescent="0.35">
      <c r="B68" s="30" t="s">
        <v>246</v>
      </c>
      <c r="C68" s="36">
        <f>C19</f>
        <v>2.474300447301458</v>
      </c>
      <c r="H68" s="36">
        <f t="shared" ref="H68:W68" si="21">H19</f>
        <v>2.4346850461075222</v>
      </c>
      <c r="I68" s="36">
        <f t="shared" si="21"/>
        <v>2.4260120171875048</v>
      </c>
      <c r="J68" s="36">
        <f t="shared" si="21"/>
        <v>2.4156766962174476</v>
      </c>
      <c r="K68" s="36">
        <f t="shared" si="21"/>
        <v>2.4027858454643956</v>
      </c>
      <c r="L68" s="36">
        <f t="shared" si="21"/>
        <v>2.3883983626222061</v>
      </c>
      <c r="M68" s="36">
        <f t="shared" si="21"/>
        <v>2.3734751397392708</v>
      </c>
      <c r="N68" s="36">
        <f t="shared" si="21"/>
        <v>2.3580926188652986</v>
      </c>
      <c r="O68" s="36">
        <f t="shared" si="21"/>
        <v>2.3441331481066454</v>
      </c>
      <c r="P68" s="36">
        <f t="shared" si="21"/>
        <v>2.3077709037299243</v>
      </c>
      <c r="Q68" s="36">
        <f t="shared" si="21"/>
        <v>2.2495716534924193</v>
      </c>
      <c r="R68" s="36">
        <f t="shared" si="21"/>
        <v>2.2039069141456564</v>
      </c>
      <c r="S68" s="36">
        <f t="shared" si="21"/>
        <v>2.1826268514120395</v>
      </c>
      <c r="T68" s="36">
        <f t="shared" si="21"/>
        <v>2.1573883897024588</v>
      </c>
      <c r="U68" s="36">
        <f t="shared" si="21"/>
        <v>2.1940864806746609</v>
      </c>
      <c r="V68" s="36">
        <f t="shared" si="21"/>
        <v>2.2248155247100749</v>
      </c>
      <c r="W68" s="36">
        <f t="shared" si="21"/>
        <v>2.2193177381324309</v>
      </c>
      <c r="Y68" s="30" t="s">
        <v>246</v>
      </c>
      <c r="Z68" s="43">
        <f t="shared" si="18"/>
        <v>2.1573883897024588</v>
      </c>
      <c r="AA68" s="43">
        <f t="shared" si="19"/>
        <v>0</v>
      </c>
      <c r="AC68" s="30" t="str">
        <f t="shared" si="20"/>
        <v>dizel</v>
      </c>
      <c r="AD68">
        <f>Z68*'Št. avtomobilov'!AA26*OsebnaVozila!$C$8/1000000</f>
        <v>764.12315006478855</v>
      </c>
    </row>
    <row r="69" spans="2:30" x14ac:dyDescent="0.35">
      <c r="B69" s="30" t="s">
        <v>247</v>
      </c>
      <c r="C69" s="36">
        <f>AVERAGE(C22:C23)</f>
        <v>3.2898065978646231</v>
      </c>
      <c r="H69" s="36">
        <f t="shared" ref="H69:W69" si="22">AVERAGE(H22:H23)</f>
        <v>2.8763767670798801</v>
      </c>
      <c r="I69" s="36">
        <f t="shared" si="22"/>
        <v>2.8763780775936194</v>
      </c>
      <c r="J69" s="36">
        <f t="shared" si="22"/>
        <v>2.8763795300832093</v>
      </c>
      <c r="K69" s="36">
        <f t="shared" si="22"/>
        <v>2.8763802046706326</v>
      </c>
      <c r="L69" s="36">
        <f t="shared" si="22"/>
        <v>2.8763805607469584</v>
      </c>
      <c r="M69" s="36">
        <f t="shared" si="22"/>
        <v>2.8763807707016946</v>
      </c>
      <c r="N69" s="36">
        <f t="shared" si="22"/>
        <v>2.8763808823804302</v>
      </c>
      <c r="O69" s="36">
        <f t="shared" si="22"/>
        <v>2.8763809531972724</v>
      </c>
      <c r="P69" s="36">
        <f t="shared" si="22"/>
        <v>2.8568810597853656</v>
      </c>
      <c r="Q69" s="36">
        <f t="shared" si="22"/>
        <v>2.7950964626764816</v>
      </c>
      <c r="R69" s="36">
        <f t="shared" si="22"/>
        <v>2.6956855234105932</v>
      </c>
      <c r="S69" s="36">
        <f t="shared" si="22"/>
        <v>2.5578287744367296</v>
      </c>
      <c r="T69" s="36">
        <f t="shared" si="22"/>
        <v>2.4271436630681933</v>
      </c>
      <c r="U69" s="36">
        <f t="shared" si="22"/>
        <v>2.3580014767300703</v>
      </c>
      <c r="V69" s="36">
        <f t="shared" si="22"/>
        <v>2.3475672919275494</v>
      </c>
      <c r="W69" s="36">
        <f t="shared" si="22"/>
        <v>2.4201763284784623</v>
      </c>
      <c r="Y69" s="30" t="s">
        <v>247</v>
      </c>
      <c r="Z69" s="43">
        <f t="shared" si="18"/>
        <v>2.4271436630681933</v>
      </c>
      <c r="AA69" s="43">
        <f t="shared" si="19"/>
        <v>0</v>
      </c>
      <c r="AC69" s="30" t="str">
        <f t="shared" si="20"/>
        <v>plin</v>
      </c>
      <c r="AD69">
        <f>Z69*'Št. avtomobilov'!AA27*OsebnaVozila!$C$8/1000000</f>
        <v>51.093121651022884</v>
      </c>
    </row>
    <row r="70" spans="2:30" x14ac:dyDescent="0.35">
      <c r="B70" s="30" t="s">
        <v>248</v>
      </c>
      <c r="C70" s="36">
        <f>AVERAGE(C17,C20)</f>
        <v>1.9746231478681791</v>
      </c>
      <c r="H70" s="36">
        <f t="shared" ref="H70:W71" si="23">AVERAGE(H17,H20)</f>
        <v>1.9656767660607704</v>
      </c>
      <c r="I70" s="36" t="e">
        <f t="shared" si="23"/>
        <v>#DIV/0!</v>
      </c>
      <c r="J70" s="36">
        <f t="shared" si="23"/>
        <v>2.1490215519093652</v>
      </c>
      <c r="K70" s="36">
        <f t="shared" si="23"/>
        <v>2.1365477906936472</v>
      </c>
      <c r="L70" s="36">
        <f t="shared" si="23"/>
        <v>2.1258043120785812</v>
      </c>
      <c r="M70" s="36">
        <f t="shared" si="23"/>
        <v>2.1193576337488262</v>
      </c>
      <c r="N70" s="36">
        <f t="shared" si="23"/>
        <v>2.1258525753344943</v>
      </c>
      <c r="O70" s="36">
        <f t="shared" si="23"/>
        <v>2.1309679990606147</v>
      </c>
      <c r="P70" s="36">
        <f t="shared" si="23"/>
        <v>2.0957927454028473</v>
      </c>
      <c r="Q70" s="36">
        <f t="shared" si="23"/>
        <v>1.9856717312130829</v>
      </c>
      <c r="R70" s="36">
        <f t="shared" si="23"/>
        <v>1.8913007259639429</v>
      </c>
      <c r="S70" s="36">
        <f t="shared" si="23"/>
        <v>1.8136941446707122</v>
      </c>
      <c r="T70" s="36">
        <f t="shared" si="23"/>
        <v>1.7487068909335093</v>
      </c>
      <c r="U70" s="36">
        <f t="shared" si="23"/>
        <v>1.6973180354161861</v>
      </c>
      <c r="V70" s="36">
        <f t="shared" si="23"/>
        <v>1.6567129570121097</v>
      </c>
      <c r="W70" s="36">
        <f t="shared" si="23"/>
        <v>1.6677413794990581</v>
      </c>
      <c r="Y70" s="30" t="s">
        <v>248</v>
      </c>
      <c r="Z70" s="43">
        <f t="shared" si="18"/>
        <v>1.7487068909335093</v>
      </c>
      <c r="AA70" s="43">
        <f t="shared" si="19"/>
        <v>0</v>
      </c>
      <c r="AC70" s="30" t="str">
        <f t="shared" si="20"/>
        <v>hibrid</v>
      </c>
      <c r="AD70">
        <f>Z70*'Št. avtomobilov'!AA28*OsebnaVozila!$C$8/1000000</f>
        <v>520.17916525981195</v>
      </c>
    </row>
    <row r="71" spans="2:30" x14ac:dyDescent="0.35">
      <c r="B71" s="30" t="s">
        <v>249</v>
      </c>
      <c r="C71" s="36"/>
      <c r="H71" s="36"/>
      <c r="I71" s="36" t="e">
        <f t="shared" si="23"/>
        <v>#DIV/0!</v>
      </c>
      <c r="J71" s="36" t="e">
        <f t="shared" si="23"/>
        <v>#DIV/0!</v>
      </c>
      <c r="K71" s="36" t="e">
        <f t="shared" si="23"/>
        <v>#DIV/0!</v>
      </c>
      <c r="L71" s="36" t="e">
        <f t="shared" si="23"/>
        <v>#DIV/0!</v>
      </c>
      <c r="M71" s="36">
        <f t="shared" si="23"/>
        <v>2.0254729295504528</v>
      </c>
      <c r="N71" s="36">
        <f t="shared" si="23"/>
        <v>2.0153861210817858</v>
      </c>
      <c r="O71" s="36">
        <f t="shared" si="23"/>
        <v>2.0060773960245148</v>
      </c>
      <c r="P71" s="36">
        <f t="shared" si="23"/>
        <v>1.9030610900740326</v>
      </c>
      <c r="Q71" s="36">
        <f t="shared" si="23"/>
        <v>1.7624202635680843</v>
      </c>
      <c r="R71" s="36">
        <f t="shared" si="23"/>
        <v>1.6950758872888798</v>
      </c>
      <c r="S71" s="36">
        <f t="shared" si="23"/>
        <v>1.6511779269248144</v>
      </c>
      <c r="T71" s="36">
        <f t="shared" si="23"/>
        <v>1.618667433938203</v>
      </c>
      <c r="U71" s="36">
        <f t="shared" si="23"/>
        <v>1.599164994055509</v>
      </c>
      <c r="V71" s="36">
        <f t="shared" si="23"/>
        <v>1.5867217137414324</v>
      </c>
      <c r="W71" s="36">
        <f t="shared" si="23"/>
        <v>1.5765318075485819</v>
      </c>
      <c r="Y71" s="30" t="s">
        <v>249</v>
      </c>
      <c r="Z71" s="43">
        <f t="shared" si="18"/>
        <v>1.618667433938203</v>
      </c>
      <c r="AA71" s="43">
        <f t="shared" si="19"/>
        <v>0</v>
      </c>
      <c r="AC71" s="30" t="str">
        <f t="shared" si="20"/>
        <v>PHEV</v>
      </c>
      <c r="AD71">
        <f>Z71*'Št. avtomobilov'!AA29*OsebnaVozila!$C$8/1000000</f>
        <v>964.9377713143175</v>
      </c>
    </row>
    <row r="72" spans="2:30" x14ac:dyDescent="0.35">
      <c r="B72" s="30" t="s">
        <v>250</v>
      </c>
      <c r="C72" s="36">
        <f>C24</f>
        <v>0</v>
      </c>
      <c r="H72" s="36">
        <f t="shared" ref="H72:W73" si="24">H24</f>
        <v>0.495585798816568</v>
      </c>
      <c r="I72" s="36">
        <f t="shared" si="24"/>
        <v>0.49558579881656806</v>
      </c>
      <c r="J72" s="36">
        <f t="shared" si="24"/>
        <v>0.49558579881656795</v>
      </c>
      <c r="K72" s="36">
        <f t="shared" si="24"/>
        <v>0.495585798816568</v>
      </c>
      <c r="L72" s="36">
        <f t="shared" si="24"/>
        <v>0.49558579881656828</v>
      </c>
      <c r="M72" s="36">
        <f t="shared" si="24"/>
        <v>0.49558579881656811</v>
      </c>
      <c r="N72" s="36">
        <f t="shared" si="24"/>
        <v>0.49558579881656784</v>
      </c>
      <c r="O72" s="36">
        <f t="shared" si="24"/>
        <v>0.49558579881656822</v>
      </c>
      <c r="P72" s="36">
        <f t="shared" si="24"/>
        <v>0.50492491237905579</v>
      </c>
      <c r="Q72" s="36">
        <f t="shared" si="24"/>
        <v>0.52835475162982415</v>
      </c>
      <c r="R72" s="36">
        <f t="shared" si="24"/>
        <v>0.55253703993422698</v>
      </c>
      <c r="S72" s="36">
        <f t="shared" si="24"/>
        <v>0.53869571461524779</v>
      </c>
      <c r="T72" s="36">
        <f t="shared" si="24"/>
        <v>0.49362416569031686</v>
      </c>
      <c r="U72" s="36">
        <f t="shared" si="24"/>
        <v>0.46107143880937157</v>
      </c>
      <c r="V72" s="36">
        <f t="shared" si="24"/>
        <v>0.4413303353922049</v>
      </c>
      <c r="W72" s="36">
        <f t="shared" si="24"/>
        <v>0.43187253145739252</v>
      </c>
      <c r="Y72" s="30" t="s">
        <v>250</v>
      </c>
      <c r="Z72" s="43">
        <f t="shared" si="18"/>
        <v>0.49362416569031686</v>
      </c>
      <c r="AA72" s="43">
        <f t="shared" si="19"/>
        <v>0</v>
      </c>
      <c r="AC72" s="30" t="str">
        <f t="shared" si="20"/>
        <v>BEV</v>
      </c>
      <c r="AD72">
        <f>Z72*'Št. avtomobilov'!AA30*OsebnaVozila!$C$8/1000000</f>
        <v>1106.2732806280117</v>
      </c>
    </row>
    <row r="73" spans="2:30" x14ac:dyDescent="0.35">
      <c r="B73" s="30" t="s">
        <v>251</v>
      </c>
      <c r="C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>
        <f t="shared" si="24"/>
        <v>0.76542269678054953</v>
      </c>
      <c r="S73" s="36">
        <f t="shared" si="24"/>
        <v>0.73837440606062354</v>
      </c>
      <c r="T73" s="36">
        <f t="shared" si="24"/>
        <v>0.71438581648610966</v>
      </c>
      <c r="U73" s="36">
        <f t="shared" si="24"/>
        <v>0.68999313451015032</v>
      </c>
      <c r="V73" s="36">
        <f t="shared" si="24"/>
        <v>0.66328592911345607</v>
      </c>
      <c r="W73" s="36">
        <f t="shared" si="24"/>
        <v>0.64415579610870544</v>
      </c>
      <c r="Y73" s="30" t="s">
        <v>251</v>
      </c>
      <c r="Z73" s="43">
        <f t="shared" si="18"/>
        <v>0.71438581648610966</v>
      </c>
      <c r="AA73" s="43">
        <f t="shared" si="19"/>
        <v>0</v>
      </c>
      <c r="AC73" s="30" t="str">
        <f t="shared" si="20"/>
        <v>HEV</v>
      </c>
      <c r="AD73">
        <f>Z73*'Št. avtomobilov'!AA31*OsebnaVozila!$C$8/1000000</f>
        <v>75.481848205042724</v>
      </c>
    </row>
    <row r="74" spans="2:30" x14ac:dyDescent="0.35">
      <c r="AD74">
        <f>SUM(AD67:AD73)</f>
        <v>4364.2541613569347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OsebnaVozila</vt:lpstr>
      <vt:lpstr>Št. avtomobilov po  občinah</vt:lpstr>
      <vt:lpstr>Št. avtomobilov</vt:lpstr>
      <vt:lpstr>Št. prevoženih km</vt:lpstr>
      <vt:lpstr>Poraba energije</vt:lpstr>
      <vt:lpstr>Emisije 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</dc:creator>
  <cp:lastModifiedBy>Mare</cp:lastModifiedBy>
  <cp:revision>1</cp:revision>
  <dcterms:created xsi:type="dcterms:W3CDTF">2020-03-13T06:56:38Z</dcterms:created>
  <dcterms:modified xsi:type="dcterms:W3CDTF">2021-05-21T08:12:56Z</dcterms:modified>
</cp:coreProperties>
</file>